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comments10.xml" ContentType="application/vnd.openxmlformats-officedocument.spreadsheetml.comments+xml"/>
  <Override PartName="/xl/comments11.xml" ContentType="application/vnd.openxmlformats-officedocument.spreadsheetml.comments+xml"/>
  <Override PartName="/xl/comments12.xml" ContentType="application/vnd.openxmlformats-officedocument.spreadsheetml.comments+xml"/>
  <Override PartName="/xl/comments13.xml" ContentType="application/vnd.openxmlformats-officedocument.spreadsheetml.comments+xml"/>
  <Override PartName="/xl/comments14.xml" ContentType="application/vnd.openxmlformats-officedocument.spreadsheetml.comments+xml"/>
  <Override PartName="/xl/drawings/drawing2.xml" ContentType="application/vnd.openxmlformats-officedocument.drawing+xml"/>
  <Override PartName="/xl/comments15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L:\BFG_VW\RVS\"/>
    </mc:Choice>
  </mc:AlternateContent>
  <xr:revisionPtr revIDLastSave="0" documentId="13_ncr:1_{9E9EFC60-4A68-446E-A83A-3DBE07CA2271}" xr6:coauthVersionLast="47" xr6:coauthVersionMax="47" xr10:uidLastSave="{00000000-0000-0000-0000-000000000000}"/>
  <bookViews>
    <workbookView xWindow="-110" yWindow="-110" windowWidth="19420" windowHeight="10300" tabRatio="919" firstSheet="13" activeTab="34" xr2:uid="{00000000-000D-0000-FFFF-FFFF00000000}"/>
  </bookViews>
  <sheets>
    <sheet name="Inhaltsverz." sheetId="5" r:id="rId1"/>
    <sheet name="Gesamt" sheetId="4" r:id="rId2"/>
    <sheet name="3.1" sheetId="15" r:id="rId3"/>
    <sheet name="4.1.1" sheetId="17" r:id="rId4"/>
    <sheet name="4.1.3" sheetId="18" r:id="rId5"/>
    <sheet name="4.2" sheetId="19" r:id="rId6"/>
    <sheet name="4.3" sheetId="20" r:id="rId7"/>
    <sheet name="4.4.2" sheetId="21" r:id="rId8"/>
    <sheet name="4.4.x" sheetId="23" r:id="rId9"/>
    <sheet name="4.5" sheetId="40" r:id="rId10"/>
    <sheet name="4.6" sheetId="22" r:id="rId11"/>
    <sheet name="4.7.1" sheetId="7" r:id="rId12"/>
    <sheet name="4.7.2" sheetId="53" r:id="rId13"/>
    <sheet name="4.7.3" sheetId="6" r:id="rId14"/>
    <sheet name="4.7.4" sheetId="8" r:id="rId15"/>
    <sheet name="4.7.5" sheetId="9" r:id="rId16"/>
    <sheet name="4.8" sheetId="51" r:id="rId17"/>
    <sheet name="4.9" sheetId="52" r:id="rId18"/>
    <sheet name="4.10" sheetId="24" r:id="rId19"/>
    <sheet name="4.11" sheetId="12" r:id="rId20"/>
    <sheet name="4.12" sheetId="13" r:id="rId21"/>
    <sheet name="4.13" sheetId="25" r:id="rId22"/>
    <sheet name="4.14" sheetId="41" r:id="rId23"/>
    <sheet name="4.15" sheetId="14" r:id="rId24"/>
    <sheet name="5.1" sheetId="42" r:id="rId25"/>
    <sheet name="6.1" sheetId="33" r:id="rId26"/>
    <sheet name="6.2" sheetId="26" r:id="rId27"/>
    <sheet name="6.2a" sheetId="47" r:id="rId28"/>
    <sheet name="6.2b" sheetId="48" r:id="rId29"/>
    <sheet name="6.2c" sheetId="49" r:id="rId30"/>
    <sheet name="6.2d" sheetId="50" r:id="rId31"/>
    <sheet name="6.3" sheetId="34" r:id="rId32"/>
    <sheet name="7.1" sheetId="44" r:id="rId33"/>
    <sheet name="7.2" sheetId="45" r:id="rId34"/>
    <sheet name="Konstante" sheetId="3" r:id="rId35"/>
  </sheets>
  <definedNames>
    <definedName name="_Ref295723403" localSheetId="25">'6.1'!$K$15</definedName>
    <definedName name="_s1" localSheetId="18">'4.10'!$L$13</definedName>
    <definedName name="_s2" localSheetId="18">'4.10'!$L$14</definedName>
    <definedName name="_s3" localSheetId="18">'4.10'!$L$15</definedName>
    <definedName name="_Toc315531100" localSheetId="34">Konstante!#REF!</definedName>
    <definedName name="A" comment="Faktor A" localSheetId="3">'4.1.1'!$S$17</definedName>
    <definedName name="Abminderungsfaktor" localSheetId="18">'4.10'!$H$6</definedName>
    <definedName name="AnzahlPasspunkte" localSheetId="21">'4.13'!$H$9</definedName>
    <definedName name="AO">'4.7.2'!$E$10</definedName>
    <definedName name="Art" localSheetId="4">'4.1.3'!$F$4</definedName>
    <definedName name="D" localSheetId="8">'4.4.x'!$D$13</definedName>
    <definedName name="D">'4.7.2'!$E$9</definedName>
    <definedName name="_xlnm.Print_Area" localSheetId="2">'3.1'!$B$31:$I$82</definedName>
    <definedName name="_xlnm.Print_Area" localSheetId="3">'4.1.1'!$B$21:$I$69</definedName>
    <definedName name="_xlnm.Print_Area" localSheetId="4">'4.1.3'!$B$21:$I$69</definedName>
    <definedName name="_xlnm.Print_Area" localSheetId="18">'4.10'!$B$21:$I$69</definedName>
    <definedName name="_xlnm.Print_Area" localSheetId="19">'4.11'!$B$22:$I$67</definedName>
    <definedName name="_xlnm.Print_Area" localSheetId="20">'4.12'!$B$21:$I$70</definedName>
    <definedName name="_xlnm.Print_Area" localSheetId="21">'4.13'!$B$51:$I$110</definedName>
    <definedName name="_xlnm.Print_Area" localSheetId="22">'4.14'!$B$54:$I$95</definedName>
    <definedName name="_xlnm.Print_Area" localSheetId="23">'4.15'!$B$21:$I$68</definedName>
    <definedName name="_xlnm.Print_Area" localSheetId="5">'4.2'!$B$21:$I$69</definedName>
    <definedName name="_xlnm.Print_Area" localSheetId="6">'4.3'!$B$21:$I$69</definedName>
    <definedName name="_xlnm.Print_Area" localSheetId="7">'4.4.2'!$B$21:$I$69</definedName>
    <definedName name="_xlnm.Print_Area" localSheetId="8">'4.4.x'!$B$21:$I$69</definedName>
    <definedName name="_xlnm.Print_Area" localSheetId="9">'4.5'!$B$54:$I$95</definedName>
    <definedName name="_xlnm.Print_Area" localSheetId="10">'4.6'!$B$21:$I$69</definedName>
    <definedName name="_xlnm.Print_Area" localSheetId="11">'4.7.1'!$B$21:$I$71</definedName>
    <definedName name="_xlnm.Print_Area" localSheetId="12">'4.7.2'!$B$21:$I$64</definedName>
    <definedName name="_xlnm.Print_Area" localSheetId="13">'4.7.3'!$B$22:$I$70</definedName>
    <definedName name="_xlnm.Print_Area" localSheetId="14">'4.7.4'!$B$21:$I$69</definedName>
    <definedName name="_xlnm.Print_Area" localSheetId="15">'4.7.5'!$B$21:$I$70</definedName>
    <definedName name="_xlnm.Print_Area" localSheetId="16">'4.8'!$B$21:$I$67</definedName>
    <definedName name="_xlnm.Print_Area" localSheetId="17">'4.9'!$B$27:$I$73</definedName>
    <definedName name="_xlnm.Print_Area" localSheetId="24">'5.1'!$B$54:$I$95</definedName>
    <definedName name="_xlnm.Print_Area" localSheetId="25">'6.1'!$B$56:$I$97</definedName>
    <definedName name="_xlnm.Print_Area" localSheetId="26">'6.2'!$B$61:$I$105</definedName>
    <definedName name="_xlnm.Print_Area" localSheetId="27">'6.2a'!$B$61:$I$105</definedName>
    <definedName name="_xlnm.Print_Area" localSheetId="28">'6.2b'!$B$61:$I$105</definedName>
    <definedName name="_xlnm.Print_Area" localSheetId="29">'6.2c'!$B$61:$I$105</definedName>
    <definedName name="_xlnm.Print_Area" localSheetId="30">'6.2d'!$B$61:$I$105</definedName>
    <definedName name="_xlnm.Print_Area" localSheetId="31">'6.3'!$B$30:$I$70</definedName>
    <definedName name="_xlnm.Print_Area" localSheetId="32">'7.1'!$B$21:$I$66</definedName>
    <definedName name="_xlnm.Print_Area" localSheetId="33">'7.2'!$B$21:$I$68</definedName>
    <definedName name="_xlnm.Print_Area" localSheetId="1">Gesamt!$B$21:$I$72</definedName>
    <definedName name="E" comment="Geländeklasse und Schwierigkeitsstufe" localSheetId="2">'3.1'!$L$8</definedName>
    <definedName name="E" localSheetId="3">'4.1.1'!$H$10</definedName>
    <definedName name="E">'4.4.2'!$D$10</definedName>
    <definedName name="Ed" localSheetId="8">'4.4.x'!$D$10</definedName>
    <definedName name="Es" localSheetId="8">'4.4.x'!$D$9</definedName>
    <definedName name="F" comment="Durchschnittliche Größe der zur Gänze betroffenen Grundstücke" localSheetId="2">'3.1'!$L$18</definedName>
    <definedName name="f" localSheetId="4">'4.1.3'!$H$14</definedName>
    <definedName name="f" localSheetId="5">'4.2'!$H$9</definedName>
    <definedName name="f" localSheetId="7">'4.4.2'!$D$10</definedName>
    <definedName name="f" localSheetId="8">'4.4.x'!$D$11</definedName>
    <definedName name="f" localSheetId="10">'4.6'!$D$12</definedName>
    <definedName name="f">'4.7.2'!$D$43</definedName>
    <definedName name="F1_" localSheetId="18">'4.10'!$N$13</definedName>
    <definedName name="F2_" localSheetId="18">'4.10'!$N$14</definedName>
    <definedName name="F3_" localSheetId="18">'4.10'!$N$15</definedName>
    <definedName name="F4_" localSheetId="18">'4.10'!$N$16</definedName>
    <definedName name="F5_" localSheetId="18">'4.10'!$N$17</definedName>
    <definedName name="F6_" localSheetId="18">'4.10'!$N$18</definedName>
    <definedName name="G" localSheetId="3">'4.1.1'!$D$9</definedName>
    <definedName name="G" localSheetId="5">'4.2'!$H$11</definedName>
    <definedName name="G" localSheetId="7">'4.4.2'!$D$12</definedName>
    <definedName name="G" localSheetId="8">'4.4.x'!$D$12</definedName>
    <definedName name="G" localSheetId="10">'4.6'!$D$6</definedName>
    <definedName name="h" localSheetId="3">'4.1.1'!$H$13</definedName>
    <definedName name="Ha" localSheetId="18">'4.10'!$L$8</definedName>
    <definedName name="Hb" localSheetId="18">'4.10'!$L$9</definedName>
    <definedName name="Hc" localSheetId="18">'4.10'!$L$10</definedName>
    <definedName name="IIc" localSheetId="12">'4.7.2'!$D$43</definedName>
    <definedName name="IS">Gesamt!$E$14</definedName>
    <definedName name="K" comment="Kataster-Kategorie (Qualität der Grenzen)" localSheetId="2">'3.1'!$L$7</definedName>
    <definedName name="L" comment="Länge der Grenze im alten Stand" localSheetId="2">'3.1'!$L$4</definedName>
    <definedName name="l" localSheetId="18">'4.10'!$F$46</definedName>
    <definedName name="l1_" localSheetId="18">'4.10'!$L$16</definedName>
    <definedName name="l2_" localSheetId="18">'4.10'!$L$17</definedName>
    <definedName name="l3_" localSheetId="18">'4.10'!$L$18</definedName>
    <definedName name="Masstab" localSheetId="21">'4.13'!$H$6</definedName>
    <definedName name="maxzeile" localSheetId="2">Gesamt!$N$53</definedName>
    <definedName name="maxzeile" localSheetId="1">Gesamt!$N$63</definedName>
    <definedName name="Messmet" localSheetId="3">'4.1.1'!$H$5</definedName>
    <definedName name="n" localSheetId="3">'4.1.1'!$H$7</definedName>
    <definedName name="n" localSheetId="4">'4.1.3'!$H$12</definedName>
    <definedName name="n" localSheetId="8">'4.4.x'!$D$4</definedName>
    <definedName name="n" localSheetId="10">'4.6'!$D$10</definedName>
    <definedName name="n_1" comment="Anzahl der Grenzpuntke auf alten Grenzen" localSheetId="2">'3.1'!$L$5</definedName>
    <definedName name="n_2" comment="Anzahl der Eigentümer" localSheetId="2">'3.1'!$L$6</definedName>
    <definedName name="n_3" comment="Anzahl der zu vereinigenden Grundstücke" localSheetId="2">'3.1'!$L$14</definedName>
    <definedName name="n_4" comment="Anzahl der Grundstücke im neuen Stand" localSheetId="2">'3.1'!$L$17</definedName>
    <definedName name="n_5" comment="Anzahl der Teilungsentwürfe" localSheetId="2">'3.1'!$L$20</definedName>
    <definedName name="n_6" comment="Anzahl der Einreichungen" localSheetId="2">'3.1'!$L$21</definedName>
    <definedName name="Nd" localSheetId="8">'4.4.x'!$D$7</definedName>
    <definedName name="Ndh" localSheetId="8">'4.4.x'!$D$8</definedName>
    <definedName name="Ndp" localSheetId="8">'4.4.x'!$D$5</definedName>
    <definedName name="Nds" localSheetId="8">'4.4.x'!$D$6</definedName>
    <definedName name="NK" localSheetId="3">'4.1.1'!$E$17</definedName>
    <definedName name="NK" localSheetId="4">'4.1.3'!$E$17</definedName>
    <definedName name="NK" localSheetId="19">'4.11'!$D$18</definedName>
    <definedName name="NK" localSheetId="20">'4.12'!$E$16</definedName>
    <definedName name="NK" localSheetId="21">'4.13'!$E$47</definedName>
    <definedName name="NK" localSheetId="22">'4.14'!$E$50</definedName>
    <definedName name="NK" localSheetId="23">'4.15'!$D$17</definedName>
    <definedName name="NK" localSheetId="5">'4.2'!$E$17</definedName>
    <definedName name="NK" localSheetId="6">'4.3'!$E$17</definedName>
    <definedName name="NK" localSheetId="7">'4.4.2'!$E$17</definedName>
    <definedName name="NK" localSheetId="8">'4.4.x'!$E$17</definedName>
    <definedName name="NK" localSheetId="9">'4.5'!$E$50</definedName>
    <definedName name="NK" localSheetId="10">'4.6'!$E$17</definedName>
    <definedName name="NK" localSheetId="11">'4.7.1'!$E$18</definedName>
    <definedName name="NK" localSheetId="12">'4.7.2'!$E$18</definedName>
    <definedName name="NK" localSheetId="13">'4.7.3'!$E$19</definedName>
    <definedName name="NK" localSheetId="14">'4.7.4'!$E$17</definedName>
    <definedName name="NK" localSheetId="15">'4.7.5'!$E$17</definedName>
    <definedName name="NK" localSheetId="16">'4.8'!$E$17</definedName>
    <definedName name="NK" localSheetId="17">'4.9'!$E$23</definedName>
    <definedName name="NK" localSheetId="24">'5.1'!$E$50</definedName>
    <definedName name="NK" localSheetId="25">'6.1'!$E$52</definedName>
    <definedName name="NK" localSheetId="26">'6.2'!$E$57</definedName>
    <definedName name="NK" localSheetId="27">'6.2a'!$E$57</definedName>
    <definedName name="NK" localSheetId="28">'6.2b'!$E$57</definedName>
    <definedName name="NK" localSheetId="29">'6.2c'!$E$57</definedName>
    <definedName name="NK" localSheetId="30">'6.2d'!$E$57</definedName>
    <definedName name="NK" localSheetId="32">'7.1'!$E$17</definedName>
    <definedName name="NK" localSheetId="33">'7.2'!$E$18</definedName>
    <definedName name="NK_1" localSheetId="2">'3.1'!$E$24</definedName>
    <definedName name="NK_2" localSheetId="2">'3.1'!$E$25</definedName>
    <definedName name="NK_3" localSheetId="2">'3.1'!$E$26</definedName>
    <definedName name="nplus" localSheetId="18">'4.10'!$R$16</definedName>
    <definedName name="ns" localSheetId="18">'4.10'!$T$16</definedName>
    <definedName name="ns1_" localSheetId="18">'4.10'!$T$13</definedName>
    <definedName name="ns2_" localSheetId="18">'4.10'!$T$14</definedName>
    <definedName name="ns3_" localSheetId="18">'4.10'!$T$15</definedName>
    <definedName name="P" localSheetId="7">'4.4.2'!$D$8</definedName>
    <definedName name="PAK" comment="Punktabstandsklasse" localSheetId="3">'4.1.1'!$M$4</definedName>
    <definedName name="PktAbst" comment="durchschnittlicher Punktabstand" localSheetId="3">'4.1.1'!$H$4</definedName>
    <definedName name="Potenz">'4.7.2'!$N$5</definedName>
    <definedName name="Qe" localSheetId="12">'4.7.2'!$E$6</definedName>
    <definedName name="Qe">'4.7.2'!$E$6</definedName>
    <definedName name="Qv">'4.7.2'!$E$7</definedName>
    <definedName name="S_" localSheetId="4">'4.1.3'!$H$10</definedName>
    <definedName name="S_" localSheetId="5">'4.2'!$H$7</definedName>
    <definedName name="S_" localSheetId="7">'4.4.2'!$D$6</definedName>
    <definedName name="S_" localSheetId="10">'4.6'!$D$8</definedName>
    <definedName name="s_1" comment="Aufnahme Naturbestand im Rahmen der Katastervermessung" localSheetId="2">'3.1'!$L$9</definedName>
    <definedName name="s_2" comment="Grenzverhandlung" localSheetId="2">'3.1'!$L$10</definedName>
    <definedName name="s_3" comment="Qualitätsverbesserungsplan" localSheetId="2">'3.1'!$L$11</definedName>
    <definedName name="s_4" comment="Mappenberichtigung, Umwandlung">'3.1'!$L$12</definedName>
    <definedName name="s_5" comment="Grundstücksvereinigung">'3.1'!$L$13</definedName>
    <definedName name="s_6" comment="Plan für Grundstücksvereinigung erforderlich" localSheetId="2">'3.1'!$L$15</definedName>
    <definedName name="s_7" comment="Grundteilung" localSheetId="2">'3.1'!$L$16</definedName>
    <definedName name="V" comment="Verkehrswert der betroffenen Grundstücke" localSheetId="2">'3.1'!$L$19</definedName>
    <definedName name="VSK" localSheetId="2">'3.1'!$F$28</definedName>
    <definedName name="VSK" comment="Vollständigkeit" localSheetId="3">'4.1.1'!$F$19</definedName>
    <definedName name="VSK" localSheetId="4">'4.1.3'!$F$19</definedName>
    <definedName name="VSK" localSheetId="18">'4.10'!$F$19</definedName>
    <definedName name="VSK" localSheetId="19">'4.11'!$F$20</definedName>
    <definedName name="VSK" localSheetId="20">'4.12'!$F$19</definedName>
    <definedName name="VSK" localSheetId="21">'4.13'!$F$49</definedName>
    <definedName name="VSK" localSheetId="22">'4.14'!$E$52</definedName>
    <definedName name="VSK" localSheetId="23">'4.15'!$F$19</definedName>
    <definedName name="VSK" localSheetId="5">'4.2'!$F$19</definedName>
    <definedName name="VSK" localSheetId="6">'4.3'!$F$19</definedName>
    <definedName name="VSK" localSheetId="7">'4.4.2'!$F$19</definedName>
    <definedName name="VSK" localSheetId="8">'4.4.x'!$F$19</definedName>
    <definedName name="VSK" localSheetId="9">'4.5'!$E$52</definedName>
    <definedName name="VSK" localSheetId="10">'4.6'!$F$19</definedName>
    <definedName name="VSK" localSheetId="11">'4.7.1'!$F$19</definedName>
    <definedName name="VSK" localSheetId="12">'4.7.2'!$F$19</definedName>
    <definedName name="VSK" localSheetId="13">'4.7.3'!$F$20</definedName>
    <definedName name="VSK" localSheetId="14">'4.7.4'!$F$19</definedName>
    <definedName name="VSK" localSheetId="15">'4.7.5'!$F$19</definedName>
    <definedName name="VSK" localSheetId="16">'4.8'!$F$19</definedName>
    <definedName name="VSK" localSheetId="17">'4.9'!$F$25</definedName>
    <definedName name="VSK" localSheetId="24">'5.1'!$E$52</definedName>
    <definedName name="VSK" localSheetId="25">'6.1'!$E$54</definedName>
    <definedName name="VSK" localSheetId="26">'6.2'!$E$59</definedName>
    <definedName name="VSK" localSheetId="27">'6.2a'!$E$59</definedName>
    <definedName name="VSK" localSheetId="28">'6.2b'!$E$59</definedName>
    <definedName name="VSK" localSheetId="29">'6.2c'!$E$59</definedName>
    <definedName name="VSK" localSheetId="30">'6.2d'!$E$59</definedName>
    <definedName name="VSK" localSheetId="31">'6.3'!$E$28</definedName>
    <definedName name="VSK" localSheetId="32">'7.1'!$F$19</definedName>
    <definedName name="VSK" localSheetId="33">'7.2'!$F$19</definedName>
    <definedName name="VSK0_" localSheetId="21">'4.13'!$P$42</definedName>
    <definedName name="VSK1_" localSheetId="21">'4.13'!$P$43</definedName>
    <definedName name="VSK2_" localSheetId="21">'4.13'!$P$44</definedName>
    <definedName name="VSK3_" localSheetId="21">'4.13'!$P$45</definedName>
    <definedName name="VSK4_" localSheetId="21">'4.13'!$P$46</definedName>
    <definedName name="VSK5_" localSheetId="21">'4.13'!$P$47</definedName>
    <definedName name="W" localSheetId="3">'4.1.1'!$H$12</definedName>
    <definedName name="ZuAbschlag" localSheetId="2">'3.1'!$E$23</definedName>
    <definedName name="ZuAbschlag" localSheetId="3">'4.1.1'!$E$16</definedName>
    <definedName name="ZuAbschlag" localSheetId="4">'4.1.3'!$E$16</definedName>
    <definedName name="ZuAbschlag" localSheetId="19">'4.11'!$D$17</definedName>
    <definedName name="ZuAbschlag" localSheetId="20">'4.12'!$E$15</definedName>
    <definedName name="ZuAbschlag" localSheetId="21">'4.13'!$E$46</definedName>
    <definedName name="ZuAbschlag" localSheetId="22">'4.14'!$E$49</definedName>
    <definedName name="ZuAbschlag" localSheetId="23">'4.15'!$D$16</definedName>
    <definedName name="ZuAbschlag" localSheetId="5">'4.2'!$E$16</definedName>
    <definedName name="ZuAbschlag" localSheetId="6">'4.3'!$E$16</definedName>
    <definedName name="ZuAbschlag" localSheetId="7">'4.4.2'!$E$16</definedName>
    <definedName name="ZuAbschlag" localSheetId="8">'4.4.x'!$E$16</definedName>
    <definedName name="ZuAbschlag" localSheetId="9">'4.5'!$E$49</definedName>
    <definedName name="ZuAbschlag" localSheetId="10">'4.6'!$E$16</definedName>
    <definedName name="ZuAbschlag" localSheetId="11">'4.7.1'!$E$17</definedName>
    <definedName name="ZuAbschlag" localSheetId="12">'4.7.2'!$E$17</definedName>
    <definedName name="ZuAbschlag" localSheetId="13">'4.7.3'!$E$18</definedName>
    <definedName name="ZuAbschlag" localSheetId="14">'4.7.4'!$E$16</definedName>
    <definedName name="ZuAbschlag" localSheetId="15">'4.7.5'!$E$16</definedName>
    <definedName name="ZuAbschlag" localSheetId="16">'4.8'!$E$16</definedName>
    <definedName name="ZuAbschlag" localSheetId="17">'4.9'!$E$22</definedName>
    <definedName name="ZuAbschlag" localSheetId="24">'5.1'!$E$49</definedName>
    <definedName name="ZuAbschlag" localSheetId="25">'6.1'!$E$51</definedName>
    <definedName name="ZuAbschlag" localSheetId="26">'6.2'!$E$56</definedName>
    <definedName name="ZuAbschlag" localSheetId="27">'6.2a'!$E$56</definedName>
    <definedName name="ZuAbschlag" localSheetId="28">'6.2b'!$E$56</definedName>
    <definedName name="ZuAbschlag" localSheetId="29">'6.2c'!$E$56</definedName>
    <definedName name="ZuAbschlag" localSheetId="30">'6.2d'!$E$56</definedName>
    <definedName name="ZuAbschlag" localSheetId="31">'6.3'!$E$27</definedName>
    <definedName name="ZuAbschlag" localSheetId="32">'7.1'!$E$16</definedName>
    <definedName name="ZuAbschlag" localSheetId="33">'7.2'!$E$17</definedName>
  </definedNames>
  <calcPr calcId="191029" iterate="1" iterateDelta="1"/>
</workbook>
</file>

<file path=xl/calcChain.xml><?xml version="1.0" encoding="utf-8"?>
<calcChain xmlns="http://schemas.openxmlformats.org/spreadsheetml/2006/main">
  <c r="BF143" i="3" l="1"/>
  <c r="BF144" i="3"/>
  <c r="BF145" i="3"/>
  <c r="BF146" i="3"/>
  <c r="BF147" i="3"/>
  <c r="BF148" i="3"/>
  <c r="BF149" i="3"/>
  <c r="H24" i="50" l="1"/>
  <c r="H23" i="50"/>
  <c r="H22" i="50" s="1"/>
  <c r="H20" i="50"/>
  <c r="H19" i="50"/>
  <c r="H16" i="50"/>
  <c r="H15" i="50"/>
  <c r="H13" i="50"/>
  <c r="H14" i="50" s="1"/>
  <c r="H12" i="50"/>
  <c r="H11" i="50"/>
  <c r="H10" i="50"/>
  <c r="H9" i="50"/>
  <c r="H8" i="50"/>
  <c r="H24" i="49"/>
  <c r="H23" i="49"/>
  <c r="H22" i="49" s="1"/>
  <c r="H20" i="49"/>
  <c r="H19" i="49"/>
  <c r="H16" i="49"/>
  <c r="H15" i="49"/>
  <c r="H13" i="49"/>
  <c r="H14" i="49" s="1"/>
  <c r="H12" i="49"/>
  <c r="H10" i="49"/>
  <c r="H11" i="49" s="1"/>
  <c r="H9" i="49"/>
  <c r="H8" i="49"/>
  <c r="H24" i="48"/>
  <c r="H23" i="48"/>
  <c r="H21" i="48" s="1"/>
  <c r="H20" i="48"/>
  <c r="H19" i="48"/>
  <c r="H16" i="48"/>
  <c r="H15" i="48"/>
  <c r="H13" i="48"/>
  <c r="H14" i="48" s="1"/>
  <c r="H12" i="48"/>
  <c r="H10" i="48"/>
  <c r="H11" i="48" s="1"/>
  <c r="H9" i="48"/>
  <c r="H8" i="48"/>
  <c r="H24" i="47"/>
  <c r="H23" i="47"/>
  <c r="H21" i="47" s="1"/>
  <c r="H20" i="47"/>
  <c r="H19" i="47"/>
  <c r="H16" i="47"/>
  <c r="H15" i="47"/>
  <c r="H13" i="47"/>
  <c r="H14" i="47" s="1"/>
  <c r="H12" i="47"/>
  <c r="H10" i="47"/>
  <c r="H11" i="47" s="1"/>
  <c r="H9" i="47"/>
  <c r="H8" i="47"/>
  <c r="H46" i="42"/>
  <c r="G46" i="42"/>
  <c r="H45" i="42"/>
  <c r="G45" i="42"/>
  <c r="H44" i="42"/>
  <c r="G44" i="42"/>
  <c r="H43" i="42"/>
  <c r="G43" i="42"/>
  <c r="H42" i="42"/>
  <c r="G42" i="42"/>
  <c r="H41" i="42"/>
  <c r="G41" i="42"/>
  <c r="H40" i="42"/>
  <c r="G40" i="42"/>
  <c r="H39" i="42"/>
  <c r="G39" i="42"/>
  <c r="H38" i="42"/>
  <c r="G38" i="42"/>
  <c r="H37" i="42"/>
  <c r="G37" i="42"/>
  <c r="H36" i="42"/>
  <c r="G36" i="42"/>
  <c r="H35" i="42"/>
  <c r="G35" i="42"/>
  <c r="H34" i="42"/>
  <c r="G34" i="42"/>
  <c r="H33" i="42"/>
  <c r="G33" i="42"/>
  <c r="H32" i="42"/>
  <c r="G32" i="42"/>
  <c r="H31" i="42"/>
  <c r="G31" i="42"/>
  <c r="H30" i="42"/>
  <c r="G30" i="42"/>
  <c r="H29" i="42"/>
  <c r="G29" i="42"/>
  <c r="H28" i="42"/>
  <c r="G28" i="42"/>
  <c r="H27" i="42"/>
  <c r="G27" i="42"/>
  <c r="H24" i="42"/>
  <c r="G24" i="42"/>
  <c r="C24" i="42"/>
  <c r="H23" i="42"/>
  <c r="G23" i="42"/>
  <c r="C23" i="42"/>
  <c r="H22" i="42"/>
  <c r="G22" i="42"/>
  <c r="C22" i="42"/>
  <c r="G21" i="42"/>
  <c r="C21" i="42"/>
  <c r="G20" i="42"/>
  <c r="C20" i="42"/>
  <c r="G19" i="42"/>
  <c r="C19" i="42"/>
  <c r="G18" i="42"/>
  <c r="C18" i="42"/>
  <c r="G17" i="42"/>
  <c r="C17" i="42"/>
  <c r="G16" i="42"/>
  <c r="C16" i="42"/>
  <c r="G15" i="42"/>
  <c r="C15" i="42"/>
  <c r="G14" i="42"/>
  <c r="C14" i="42"/>
  <c r="G13" i="42"/>
  <c r="C13" i="42"/>
  <c r="G12" i="42"/>
  <c r="C12" i="42"/>
  <c r="G11" i="42"/>
  <c r="C11" i="42"/>
  <c r="G10" i="42"/>
  <c r="C10" i="42"/>
  <c r="G9" i="42"/>
  <c r="C9" i="42"/>
  <c r="G8" i="42"/>
  <c r="C8" i="42"/>
  <c r="G7" i="42"/>
  <c r="C7" i="42"/>
  <c r="G6" i="42"/>
  <c r="C6" i="42"/>
  <c r="G5" i="42"/>
  <c r="C5" i="42"/>
  <c r="H24" i="41"/>
  <c r="G24" i="41"/>
  <c r="C24" i="41"/>
  <c r="H23" i="41"/>
  <c r="G23" i="41"/>
  <c r="C23" i="41"/>
  <c r="H22" i="41"/>
  <c r="G22" i="41"/>
  <c r="C22" i="41"/>
  <c r="G21" i="41"/>
  <c r="C21" i="41"/>
  <c r="G20" i="41"/>
  <c r="C20" i="41"/>
  <c r="G19" i="41"/>
  <c r="C19" i="41"/>
  <c r="G18" i="41"/>
  <c r="C18" i="41"/>
  <c r="G17" i="41"/>
  <c r="C17" i="41"/>
  <c r="G16" i="41"/>
  <c r="C16" i="41"/>
  <c r="G15" i="41"/>
  <c r="C15" i="41"/>
  <c r="G14" i="41"/>
  <c r="C14" i="41"/>
  <c r="G13" i="41"/>
  <c r="C13" i="41"/>
  <c r="G12" i="41"/>
  <c r="C12" i="41"/>
  <c r="G11" i="41"/>
  <c r="C11" i="41"/>
  <c r="G10" i="41"/>
  <c r="C10" i="41"/>
  <c r="G9" i="41"/>
  <c r="C9" i="41"/>
  <c r="G8" i="41"/>
  <c r="C8" i="41"/>
  <c r="G7" i="41"/>
  <c r="C7" i="41"/>
  <c r="G6" i="41"/>
  <c r="C6" i="41"/>
  <c r="G5" i="41"/>
  <c r="C5" i="41"/>
  <c r="O9" i="12"/>
  <c r="O10" i="12"/>
  <c r="O11" i="12"/>
  <c r="O12" i="12"/>
  <c r="O13" i="12"/>
  <c r="O8" i="12"/>
  <c r="F20" i="12"/>
  <c r="D36" i="51"/>
  <c r="B27" i="8"/>
  <c r="H17" i="48" l="1"/>
  <c r="H22" i="48"/>
  <c r="H22" i="47"/>
  <c r="H17" i="50"/>
  <c r="H18" i="50"/>
  <c r="H21" i="50"/>
  <c r="H17" i="49"/>
  <c r="H18" i="49"/>
  <c r="H21" i="49"/>
  <c r="H18" i="48"/>
  <c r="H17" i="47"/>
  <c r="H18" i="47"/>
  <c r="O14" i="12"/>
  <c r="H14" i="12" s="1"/>
  <c r="P8" i="12" s="1"/>
  <c r="N8" i="12" s="1"/>
  <c r="D45" i="12" l="1"/>
  <c r="R8" i="12"/>
  <c r="H45" i="12"/>
  <c r="C45" i="12"/>
  <c r="G45" i="12"/>
  <c r="E45" i="12"/>
  <c r="F45" i="12"/>
  <c r="C6" i="40" l="1"/>
  <c r="G6" i="40"/>
  <c r="C7" i="40"/>
  <c r="G7" i="40"/>
  <c r="C8" i="40"/>
  <c r="G8" i="40"/>
  <c r="C9" i="40"/>
  <c r="G9" i="40"/>
  <c r="C10" i="40"/>
  <c r="G10" i="40"/>
  <c r="C11" i="40"/>
  <c r="G11" i="40"/>
  <c r="C12" i="40"/>
  <c r="G12" i="40"/>
  <c r="C13" i="40"/>
  <c r="G13" i="40"/>
  <c r="C14" i="40"/>
  <c r="G14" i="40"/>
  <c r="C15" i="40"/>
  <c r="G15" i="40"/>
  <c r="C16" i="40"/>
  <c r="G16" i="40"/>
  <c r="C17" i="40"/>
  <c r="G17" i="40"/>
  <c r="C18" i="40"/>
  <c r="G18" i="40"/>
  <c r="C19" i="40"/>
  <c r="G19" i="40"/>
  <c r="C20" i="40"/>
  <c r="G20" i="40"/>
  <c r="C21" i="40"/>
  <c r="G21" i="40"/>
  <c r="C22" i="40"/>
  <c r="G22" i="40"/>
  <c r="H22" i="40"/>
  <c r="C23" i="40"/>
  <c r="G23" i="40"/>
  <c r="H23" i="40"/>
  <c r="C24" i="40"/>
  <c r="G24" i="40"/>
  <c r="H24" i="40"/>
  <c r="C33" i="21"/>
  <c r="D10" i="21"/>
  <c r="D40" i="21" s="1"/>
  <c r="D2" i="21"/>
  <c r="C29" i="18"/>
  <c r="H20" i="26"/>
  <c r="H19" i="26"/>
  <c r="H10" i="26"/>
  <c r="L8" i="12"/>
  <c r="C20" i="12"/>
  <c r="F19" i="51"/>
  <c r="D42" i="51"/>
  <c r="F19" i="53"/>
  <c r="N6" i="53"/>
  <c r="H17" i="40" l="1"/>
  <c r="H17" i="41"/>
  <c r="H17" i="42"/>
  <c r="H16" i="42"/>
  <c r="H16" i="41"/>
  <c r="H16" i="40"/>
  <c r="H11" i="26"/>
  <c r="H7" i="41"/>
  <c r="H7" i="42"/>
  <c r="H7" i="40"/>
  <c r="H8" i="40" l="1"/>
  <c r="H8" i="42"/>
  <c r="H8" i="41"/>
  <c r="E43" i="53"/>
  <c r="D43" i="53" s="1"/>
  <c r="N4" i="53"/>
  <c r="E46" i="53" s="1"/>
  <c r="N5" i="53" l="1"/>
  <c r="N8" i="53"/>
  <c r="F20" i="6"/>
  <c r="B23" i="53"/>
  <c r="C19" i="53"/>
  <c r="D37" i="53"/>
  <c r="D38" i="53"/>
  <c r="D40" i="53"/>
  <c r="D41" i="53"/>
  <c r="E48" i="53" l="1"/>
  <c r="E47" i="53"/>
  <c r="F51" i="53" l="1"/>
  <c r="G92" i="25" l="1"/>
  <c r="G91" i="25"/>
  <c r="D75" i="25"/>
  <c r="D70" i="25"/>
  <c r="F90" i="25"/>
  <c r="F92" i="25"/>
  <c r="E92" i="25"/>
  <c r="D92" i="25"/>
  <c r="D90" i="25"/>
  <c r="D74" i="25"/>
  <c r="G17" i="25"/>
  <c r="E31" i="53"/>
  <c r="B27" i="53"/>
  <c r="B24" i="53"/>
  <c r="B22" i="53"/>
  <c r="N2" i="53"/>
  <c r="N1" i="53"/>
  <c r="AD13" i="52"/>
  <c r="G10" i="52"/>
  <c r="V16" i="52"/>
  <c r="U16" i="52"/>
  <c r="U11" i="52"/>
  <c r="F52" i="52"/>
  <c r="F51" i="52"/>
  <c r="F50" i="52"/>
  <c r="F49" i="52"/>
  <c r="F55" i="52"/>
  <c r="F56" i="52"/>
  <c r="G56" i="52"/>
  <c r="F57" i="52"/>
  <c r="G58" i="52"/>
  <c r="E56" i="52"/>
  <c r="E57" i="52"/>
  <c r="E58" i="52"/>
  <c r="E55" i="52"/>
  <c r="T16" i="52"/>
  <c r="T11" i="52"/>
  <c r="E12" i="52"/>
  <c r="O16" i="52"/>
  <c r="O7" i="52"/>
  <c r="F10" i="52"/>
  <c r="E10" i="52"/>
  <c r="D39" i="51"/>
  <c r="D38" i="51"/>
  <c r="D40" i="51"/>
  <c r="D41" i="51"/>
  <c r="D44" i="51"/>
  <c r="F44" i="51"/>
  <c r="D45" i="51"/>
  <c r="F45" i="51"/>
  <c r="F68" i="52"/>
  <c r="C68" i="52"/>
  <c r="E37" i="52"/>
  <c r="B33" i="52"/>
  <c r="B30" i="52"/>
  <c r="B29" i="52"/>
  <c r="B28" i="52"/>
  <c r="N2" i="52"/>
  <c r="N1" i="52"/>
  <c r="P47" i="4"/>
  <c r="P42" i="4"/>
  <c r="AA7" i="52" l="1"/>
  <c r="Y8" i="52"/>
  <c r="Z8" i="52" s="1"/>
  <c r="AA10" i="52"/>
  <c r="AB10" i="52" s="1"/>
  <c r="H6" i="52"/>
  <c r="N3" i="53"/>
  <c r="M42" i="4" s="1"/>
  <c r="E54" i="53"/>
  <c r="F54" i="53" s="1"/>
  <c r="F25" i="52"/>
  <c r="C20" i="52"/>
  <c r="AC9" i="52"/>
  <c r="AD9" i="52" s="1"/>
  <c r="AA8" i="52"/>
  <c r="AB8" i="52" s="1"/>
  <c r="AA9" i="52"/>
  <c r="AB9" i="52" s="1"/>
  <c r="Y9" i="52"/>
  <c r="Z9" i="52" s="1"/>
  <c r="Y10" i="52"/>
  <c r="Z10" i="52" s="1"/>
  <c r="C54" i="53"/>
  <c r="G54" i="53"/>
  <c r="C55" i="53"/>
  <c r="F55" i="53"/>
  <c r="G55" i="53"/>
  <c r="G59" i="52"/>
  <c r="AC7" i="52"/>
  <c r="AC11" i="52"/>
  <c r="AD11" i="52" s="1"/>
  <c r="Y11" i="52"/>
  <c r="Z11" i="52" s="1"/>
  <c r="F59" i="52"/>
  <c r="Y7" i="52"/>
  <c r="E59" i="52"/>
  <c r="T9" i="51"/>
  <c r="C19" i="51"/>
  <c r="S9" i="51"/>
  <c r="P9" i="51"/>
  <c r="R9" i="51"/>
  <c r="Q9" i="51"/>
  <c r="O9" i="51"/>
  <c r="F56" i="51"/>
  <c r="C56" i="51"/>
  <c r="F46" i="51"/>
  <c r="D46" i="51"/>
  <c r="E31" i="51"/>
  <c r="B27" i="51"/>
  <c r="B24" i="51"/>
  <c r="B23" i="51"/>
  <c r="B22" i="51"/>
  <c r="N2" i="51"/>
  <c r="N1" i="51"/>
  <c r="K12" i="51" l="1"/>
  <c r="F50" i="51" s="1"/>
  <c r="G58" i="53"/>
  <c r="G65" i="52"/>
  <c r="AC12" i="52"/>
  <c r="AA12" i="52"/>
  <c r="AA13" i="52" s="1"/>
  <c r="C65" i="52"/>
  <c r="G66" i="52"/>
  <c r="C25" i="52"/>
  <c r="Y12" i="52"/>
  <c r="N3" i="52"/>
  <c r="M47" i="4" s="1"/>
  <c r="E65" i="52"/>
  <c r="C66" i="52"/>
  <c r="F66" i="52"/>
  <c r="P46" i="4"/>
  <c r="T42" i="4"/>
  <c r="K13" i="51" l="1"/>
  <c r="G19" i="53"/>
  <c r="H18" i="51"/>
  <c r="AC13" i="52"/>
  <c r="G61" i="52"/>
  <c r="Y13" i="52"/>
  <c r="E61" i="52"/>
  <c r="F61" i="52"/>
  <c r="E53" i="51"/>
  <c r="F53" i="51" s="1"/>
  <c r="C53" i="51"/>
  <c r="N3" i="51"/>
  <c r="M46" i="4" s="1"/>
  <c r="G53" i="51"/>
  <c r="G54" i="51"/>
  <c r="F54" i="51"/>
  <c r="C54" i="51"/>
  <c r="G57" i="51" l="1"/>
  <c r="F63" i="52"/>
  <c r="F65" i="52" s="1"/>
  <c r="G69" i="52" s="1"/>
  <c r="T46" i="4"/>
  <c r="T47" i="4"/>
  <c r="G19" i="51" l="1"/>
  <c r="G25" i="52"/>
  <c r="H24" i="33"/>
  <c r="H22" i="33" s="1"/>
  <c r="H23" i="33"/>
  <c r="H21" i="33"/>
  <c r="H20" i="33"/>
  <c r="H19" i="33"/>
  <c r="H18" i="33"/>
  <c r="H17" i="33"/>
  <c r="H16" i="33"/>
  <c r="H15" i="33"/>
  <c r="H12" i="26"/>
  <c r="H14" i="33"/>
  <c r="H13" i="33"/>
  <c r="H12" i="33"/>
  <c r="H16" i="26"/>
  <c r="H53" i="48"/>
  <c r="H98" i="48" s="1"/>
  <c r="G53" i="48"/>
  <c r="G98" i="48" s="1"/>
  <c r="H52" i="48"/>
  <c r="H97" i="48" s="1"/>
  <c r="G52" i="48"/>
  <c r="G97" i="48" s="1"/>
  <c r="H51" i="48"/>
  <c r="H96" i="48" s="1"/>
  <c r="G51" i="48"/>
  <c r="G96" i="48" s="1"/>
  <c r="H50" i="48"/>
  <c r="H95" i="48" s="1"/>
  <c r="G50" i="48"/>
  <c r="G95" i="48" s="1"/>
  <c r="H49" i="48"/>
  <c r="H94" i="48" s="1"/>
  <c r="G49" i="48"/>
  <c r="G94" i="48" s="1"/>
  <c r="H48" i="48"/>
  <c r="H93" i="48" s="1"/>
  <c r="G48" i="48"/>
  <c r="G93" i="48" s="1"/>
  <c r="H47" i="48"/>
  <c r="H92" i="48" s="1"/>
  <c r="G47" i="48"/>
  <c r="G92" i="48" s="1"/>
  <c r="H46" i="48"/>
  <c r="H91" i="48" s="1"/>
  <c r="G46" i="48"/>
  <c r="G91" i="48" s="1"/>
  <c r="H45" i="48"/>
  <c r="H90" i="48" s="1"/>
  <c r="G45" i="48"/>
  <c r="G90" i="48" s="1"/>
  <c r="H44" i="48"/>
  <c r="H89" i="48" s="1"/>
  <c r="G44" i="48"/>
  <c r="G89" i="48" s="1"/>
  <c r="H43" i="48"/>
  <c r="H88" i="48" s="1"/>
  <c r="G43" i="48"/>
  <c r="G88" i="48" s="1"/>
  <c r="H42" i="48"/>
  <c r="H87" i="48" s="1"/>
  <c r="G42" i="48"/>
  <c r="G87" i="48" s="1"/>
  <c r="H41" i="48"/>
  <c r="H86" i="48" s="1"/>
  <c r="G41" i="48"/>
  <c r="G86" i="48" s="1"/>
  <c r="H40" i="48"/>
  <c r="H85" i="48" s="1"/>
  <c r="G40" i="48"/>
  <c r="G85" i="48" s="1"/>
  <c r="H39" i="48"/>
  <c r="H84" i="48" s="1"/>
  <c r="G39" i="48"/>
  <c r="G84" i="48" s="1"/>
  <c r="H38" i="48"/>
  <c r="H83" i="48" s="1"/>
  <c r="G38" i="48"/>
  <c r="G83" i="48" s="1"/>
  <c r="H37" i="48"/>
  <c r="H82" i="48" s="1"/>
  <c r="G37" i="48"/>
  <c r="G82" i="48" s="1"/>
  <c r="H36" i="48"/>
  <c r="H81" i="48" s="1"/>
  <c r="G36" i="48"/>
  <c r="G81" i="48" s="1"/>
  <c r="H35" i="48"/>
  <c r="H80" i="48" s="1"/>
  <c r="G35" i="48"/>
  <c r="G80" i="48" s="1"/>
  <c r="H34" i="48"/>
  <c r="H79" i="48" s="1"/>
  <c r="G34" i="48"/>
  <c r="G79" i="48" s="1"/>
  <c r="H33" i="48"/>
  <c r="H78" i="48" s="1"/>
  <c r="G33" i="48"/>
  <c r="G78" i="48" s="1"/>
  <c r="H32" i="48"/>
  <c r="G32" i="48"/>
  <c r="G77" i="48" s="1"/>
  <c r="H31" i="48"/>
  <c r="H76" i="48" s="1"/>
  <c r="G31" i="48"/>
  <c r="G76" i="48" s="1"/>
  <c r="H53" i="49"/>
  <c r="H98" i="49" s="1"/>
  <c r="G53" i="49"/>
  <c r="G98" i="49" s="1"/>
  <c r="H52" i="49"/>
  <c r="H97" i="49" s="1"/>
  <c r="G52" i="49"/>
  <c r="G97" i="49" s="1"/>
  <c r="H51" i="49"/>
  <c r="H96" i="49" s="1"/>
  <c r="G51" i="49"/>
  <c r="G96" i="49" s="1"/>
  <c r="H50" i="49"/>
  <c r="H95" i="49" s="1"/>
  <c r="G50" i="49"/>
  <c r="G95" i="49" s="1"/>
  <c r="H49" i="49"/>
  <c r="H94" i="49" s="1"/>
  <c r="G49" i="49"/>
  <c r="G94" i="49" s="1"/>
  <c r="H48" i="49"/>
  <c r="H93" i="49" s="1"/>
  <c r="G48" i="49"/>
  <c r="G93" i="49" s="1"/>
  <c r="H47" i="49"/>
  <c r="H92" i="49" s="1"/>
  <c r="G47" i="49"/>
  <c r="G92" i="49" s="1"/>
  <c r="H46" i="49"/>
  <c r="H91" i="49" s="1"/>
  <c r="G46" i="49"/>
  <c r="G91" i="49" s="1"/>
  <c r="H45" i="49"/>
  <c r="H90" i="49" s="1"/>
  <c r="G45" i="49"/>
  <c r="G90" i="49" s="1"/>
  <c r="H44" i="49"/>
  <c r="H89" i="49" s="1"/>
  <c r="G44" i="49"/>
  <c r="G89" i="49" s="1"/>
  <c r="H43" i="49"/>
  <c r="H88" i="49" s="1"/>
  <c r="G43" i="49"/>
  <c r="G88" i="49" s="1"/>
  <c r="H42" i="49"/>
  <c r="H87" i="49" s="1"/>
  <c r="G42" i="49"/>
  <c r="G87" i="49" s="1"/>
  <c r="H41" i="49"/>
  <c r="H86" i="49" s="1"/>
  <c r="G41" i="49"/>
  <c r="G86" i="49" s="1"/>
  <c r="H40" i="49"/>
  <c r="H85" i="49" s="1"/>
  <c r="G40" i="49"/>
  <c r="G85" i="49" s="1"/>
  <c r="H39" i="49"/>
  <c r="H84" i="49" s="1"/>
  <c r="G39" i="49"/>
  <c r="G84" i="49" s="1"/>
  <c r="H38" i="49"/>
  <c r="H83" i="49" s="1"/>
  <c r="G38" i="49"/>
  <c r="G83" i="49" s="1"/>
  <c r="H37" i="49"/>
  <c r="H82" i="49" s="1"/>
  <c r="G37" i="49"/>
  <c r="G82" i="49" s="1"/>
  <c r="H36" i="49"/>
  <c r="H81" i="49" s="1"/>
  <c r="G36" i="49"/>
  <c r="G81" i="49" s="1"/>
  <c r="H35" i="49"/>
  <c r="H80" i="49" s="1"/>
  <c r="G35" i="49"/>
  <c r="G80" i="49" s="1"/>
  <c r="H34" i="49"/>
  <c r="H79" i="49" s="1"/>
  <c r="G34" i="49"/>
  <c r="G79" i="49" s="1"/>
  <c r="H33" i="49"/>
  <c r="H78" i="49" s="1"/>
  <c r="G33" i="49"/>
  <c r="G78" i="49" s="1"/>
  <c r="H32" i="49"/>
  <c r="G32" i="49"/>
  <c r="G77" i="49" s="1"/>
  <c r="H31" i="49"/>
  <c r="H76" i="49" s="1"/>
  <c r="G31" i="49"/>
  <c r="G76" i="49" s="1"/>
  <c r="H53" i="50"/>
  <c r="H98" i="50" s="1"/>
  <c r="G53" i="50"/>
  <c r="G98" i="50" s="1"/>
  <c r="H52" i="50"/>
  <c r="H97" i="50" s="1"/>
  <c r="G52" i="50"/>
  <c r="G97" i="50" s="1"/>
  <c r="H51" i="50"/>
  <c r="H96" i="50" s="1"/>
  <c r="G51" i="50"/>
  <c r="G96" i="50" s="1"/>
  <c r="H50" i="50"/>
  <c r="H95" i="50" s="1"/>
  <c r="G50" i="50"/>
  <c r="G95" i="50" s="1"/>
  <c r="H49" i="50"/>
  <c r="H94" i="50" s="1"/>
  <c r="G49" i="50"/>
  <c r="G94" i="50" s="1"/>
  <c r="H48" i="50"/>
  <c r="H93" i="50" s="1"/>
  <c r="G48" i="50"/>
  <c r="G93" i="50" s="1"/>
  <c r="H47" i="50"/>
  <c r="H92" i="50" s="1"/>
  <c r="G47" i="50"/>
  <c r="G92" i="50" s="1"/>
  <c r="H46" i="50"/>
  <c r="H91" i="50" s="1"/>
  <c r="G46" i="50"/>
  <c r="G91" i="50" s="1"/>
  <c r="H45" i="50"/>
  <c r="H90" i="50" s="1"/>
  <c r="G45" i="50"/>
  <c r="G90" i="50" s="1"/>
  <c r="H44" i="50"/>
  <c r="H89" i="50" s="1"/>
  <c r="G44" i="50"/>
  <c r="G89" i="50" s="1"/>
  <c r="H43" i="50"/>
  <c r="H88" i="50" s="1"/>
  <c r="G43" i="50"/>
  <c r="G88" i="50" s="1"/>
  <c r="H42" i="50"/>
  <c r="H87" i="50" s="1"/>
  <c r="G42" i="50"/>
  <c r="G87" i="50" s="1"/>
  <c r="H41" i="50"/>
  <c r="H86" i="50" s="1"/>
  <c r="G41" i="50"/>
  <c r="G86" i="50" s="1"/>
  <c r="H40" i="50"/>
  <c r="H85" i="50" s="1"/>
  <c r="G40" i="50"/>
  <c r="G85" i="50" s="1"/>
  <c r="H39" i="50"/>
  <c r="H84" i="50" s="1"/>
  <c r="G39" i="50"/>
  <c r="G84" i="50" s="1"/>
  <c r="H38" i="50"/>
  <c r="H83" i="50" s="1"/>
  <c r="G38" i="50"/>
  <c r="G83" i="50" s="1"/>
  <c r="H37" i="50"/>
  <c r="H82" i="50" s="1"/>
  <c r="G37" i="50"/>
  <c r="G82" i="50" s="1"/>
  <c r="H36" i="50"/>
  <c r="H81" i="50" s="1"/>
  <c r="G36" i="50"/>
  <c r="G81" i="50" s="1"/>
  <c r="H35" i="50"/>
  <c r="H80" i="50" s="1"/>
  <c r="G35" i="50"/>
  <c r="G80" i="50" s="1"/>
  <c r="H34" i="50"/>
  <c r="H79" i="50" s="1"/>
  <c r="G34" i="50"/>
  <c r="G79" i="50" s="1"/>
  <c r="H33" i="50"/>
  <c r="H78" i="50" s="1"/>
  <c r="G33" i="50"/>
  <c r="G78" i="50" s="1"/>
  <c r="H32" i="50"/>
  <c r="G32" i="50"/>
  <c r="G77" i="50" s="1"/>
  <c r="H31" i="50"/>
  <c r="H76" i="50" s="1"/>
  <c r="G31" i="50"/>
  <c r="G76" i="50" s="1"/>
  <c r="H53" i="47"/>
  <c r="H98" i="47" s="1"/>
  <c r="G53" i="47"/>
  <c r="G98" i="47" s="1"/>
  <c r="H52" i="47"/>
  <c r="H97" i="47" s="1"/>
  <c r="G52" i="47"/>
  <c r="G97" i="47" s="1"/>
  <c r="H51" i="47"/>
  <c r="H96" i="47" s="1"/>
  <c r="G51" i="47"/>
  <c r="G96" i="47" s="1"/>
  <c r="H50" i="47"/>
  <c r="H95" i="47" s="1"/>
  <c r="G50" i="47"/>
  <c r="G95" i="47" s="1"/>
  <c r="H49" i="47"/>
  <c r="H94" i="47" s="1"/>
  <c r="G49" i="47"/>
  <c r="G94" i="47" s="1"/>
  <c r="H48" i="47"/>
  <c r="H93" i="47" s="1"/>
  <c r="G48" i="47"/>
  <c r="G93" i="47" s="1"/>
  <c r="H47" i="47"/>
  <c r="H92" i="47" s="1"/>
  <c r="G47" i="47"/>
  <c r="G92" i="47" s="1"/>
  <c r="H46" i="47"/>
  <c r="H91" i="47" s="1"/>
  <c r="G46" i="47"/>
  <c r="G91" i="47" s="1"/>
  <c r="H45" i="47"/>
  <c r="H90" i="47" s="1"/>
  <c r="G45" i="47"/>
  <c r="G90" i="47" s="1"/>
  <c r="H44" i="47"/>
  <c r="H89" i="47" s="1"/>
  <c r="G44" i="47"/>
  <c r="G89" i="47" s="1"/>
  <c r="H43" i="47"/>
  <c r="H88" i="47" s="1"/>
  <c r="G43" i="47"/>
  <c r="G88" i="47" s="1"/>
  <c r="H42" i="47"/>
  <c r="H87" i="47" s="1"/>
  <c r="G42" i="47"/>
  <c r="G87" i="47" s="1"/>
  <c r="H41" i="47"/>
  <c r="H86" i="47" s="1"/>
  <c r="G41" i="47"/>
  <c r="G86" i="47" s="1"/>
  <c r="H40" i="47"/>
  <c r="H85" i="47" s="1"/>
  <c r="G40" i="47"/>
  <c r="G85" i="47" s="1"/>
  <c r="H39" i="47"/>
  <c r="H84" i="47" s="1"/>
  <c r="G39" i="47"/>
  <c r="G84" i="47" s="1"/>
  <c r="H38" i="47"/>
  <c r="H83" i="47" s="1"/>
  <c r="G38" i="47"/>
  <c r="G83" i="47" s="1"/>
  <c r="H37" i="47"/>
  <c r="H82" i="47" s="1"/>
  <c r="G37" i="47"/>
  <c r="G82" i="47" s="1"/>
  <c r="H36" i="47"/>
  <c r="H81" i="47" s="1"/>
  <c r="G36" i="47"/>
  <c r="G81" i="47" s="1"/>
  <c r="H35" i="47"/>
  <c r="H80" i="47" s="1"/>
  <c r="G35" i="47"/>
  <c r="G80" i="47" s="1"/>
  <c r="H34" i="47"/>
  <c r="H79" i="47" s="1"/>
  <c r="G34" i="47"/>
  <c r="G79" i="47" s="1"/>
  <c r="H33" i="47"/>
  <c r="H78" i="47" s="1"/>
  <c r="G33" i="47"/>
  <c r="G78" i="47" s="1"/>
  <c r="H32" i="47"/>
  <c r="H77" i="47" s="1"/>
  <c r="G32" i="47"/>
  <c r="G77" i="47" s="1"/>
  <c r="H31" i="47"/>
  <c r="H76" i="47" s="1"/>
  <c r="G31" i="47"/>
  <c r="G76" i="47" s="1"/>
  <c r="G32" i="26"/>
  <c r="H32" i="26" s="1"/>
  <c r="G33" i="26"/>
  <c r="H33" i="26"/>
  <c r="G34" i="26"/>
  <c r="H34" i="26" s="1"/>
  <c r="G35" i="26"/>
  <c r="H35" i="26"/>
  <c r="G36" i="26"/>
  <c r="H36" i="26" s="1"/>
  <c r="G37" i="26"/>
  <c r="H37" i="26"/>
  <c r="G38" i="26"/>
  <c r="H38" i="26" s="1"/>
  <c r="H83" i="26" s="1"/>
  <c r="G39" i="26"/>
  <c r="G84" i="26" s="1"/>
  <c r="H39" i="26"/>
  <c r="H84" i="26" s="1"/>
  <c r="G40" i="26"/>
  <c r="H40" i="26" s="1"/>
  <c r="H85" i="26" s="1"/>
  <c r="G41" i="26"/>
  <c r="H41" i="26"/>
  <c r="G42" i="26"/>
  <c r="H42" i="26" s="1"/>
  <c r="G43" i="26"/>
  <c r="H43" i="26"/>
  <c r="G44" i="26"/>
  <c r="H44" i="26" s="1"/>
  <c r="G45" i="26"/>
  <c r="G90" i="26" s="1"/>
  <c r="H45" i="26"/>
  <c r="H90" i="26" s="1"/>
  <c r="G46" i="26"/>
  <c r="H46" i="26" s="1"/>
  <c r="G47" i="26"/>
  <c r="H47" i="26"/>
  <c r="G48" i="26"/>
  <c r="H48" i="26" s="1"/>
  <c r="H93" i="26" s="1"/>
  <c r="G49" i="26"/>
  <c r="H49" i="26"/>
  <c r="G50" i="26"/>
  <c r="H50" i="26" s="1"/>
  <c r="G51" i="26"/>
  <c r="H51" i="26"/>
  <c r="G52" i="26"/>
  <c r="H52" i="26" s="1"/>
  <c r="H97" i="26" s="1"/>
  <c r="G53" i="26"/>
  <c r="G98" i="26" s="1"/>
  <c r="H53" i="26"/>
  <c r="H98" i="26" s="1"/>
  <c r="G31" i="26"/>
  <c r="B67" i="26"/>
  <c r="B67" i="47"/>
  <c r="B67" i="48"/>
  <c r="B67" i="49"/>
  <c r="B67" i="50"/>
  <c r="F98" i="50"/>
  <c r="E98" i="50"/>
  <c r="D98" i="50"/>
  <c r="C98" i="50"/>
  <c r="F97" i="50"/>
  <c r="E97" i="50"/>
  <c r="D97" i="50"/>
  <c r="C97" i="50"/>
  <c r="F96" i="50"/>
  <c r="E96" i="50"/>
  <c r="D96" i="50"/>
  <c r="C96" i="50"/>
  <c r="F95" i="50"/>
  <c r="E95" i="50"/>
  <c r="D95" i="50"/>
  <c r="C95" i="50"/>
  <c r="F94" i="50"/>
  <c r="E94" i="50"/>
  <c r="D94" i="50"/>
  <c r="C94" i="50"/>
  <c r="F93" i="50"/>
  <c r="E93" i="50"/>
  <c r="D93" i="50"/>
  <c r="C93" i="50"/>
  <c r="F92" i="50"/>
  <c r="E92" i="50"/>
  <c r="D92" i="50"/>
  <c r="C92" i="50"/>
  <c r="F91" i="50"/>
  <c r="E91" i="50"/>
  <c r="D91" i="50"/>
  <c r="C91" i="50"/>
  <c r="F90" i="50"/>
  <c r="E90" i="50"/>
  <c r="D90" i="50"/>
  <c r="C90" i="50"/>
  <c r="F89" i="50"/>
  <c r="E89" i="50"/>
  <c r="D89" i="50"/>
  <c r="C89" i="50"/>
  <c r="F88" i="50"/>
  <c r="E88" i="50"/>
  <c r="D88" i="50"/>
  <c r="C88" i="50"/>
  <c r="F87" i="50"/>
  <c r="E87" i="50"/>
  <c r="D87" i="50"/>
  <c r="C87" i="50"/>
  <c r="F86" i="50"/>
  <c r="E86" i="50"/>
  <c r="D86" i="50"/>
  <c r="C86" i="50"/>
  <c r="F85" i="50"/>
  <c r="E85" i="50"/>
  <c r="D85" i="50"/>
  <c r="C85" i="50"/>
  <c r="F84" i="50"/>
  <c r="E84" i="50"/>
  <c r="D84" i="50"/>
  <c r="C84" i="50"/>
  <c r="F83" i="50"/>
  <c r="E83" i="50"/>
  <c r="D83" i="50"/>
  <c r="C83" i="50"/>
  <c r="F82" i="50"/>
  <c r="E82" i="50"/>
  <c r="D82" i="50"/>
  <c r="C82" i="50"/>
  <c r="F81" i="50"/>
  <c r="E81" i="50"/>
  <c r="D81" i="50"/>
  <c r="C81" i="50"/>
  <c r="F80" i="50"/>
  <c r="E80" i="50"/>
  <c r="D80" i="50"/>
  <c r="C80" i="50"/>
  <c r="F79" i="50"/>
  <c r="E79" i="50"/>
  <c r="D79" i="50"/>
  <c r="C79" i="50"/>
  <c r="F78" i="50"/>
  <c r="E78" i="50"/>
  <c r="D78" i="50"/>
  <c r="C78" i="50"/>
  <c r="F77" i="50"/>
  <c r="E77" i="50"/>
  <c r="D77" i="50"/>
  <c r="C77" i="50"/>
  <c r="F76" i="50"/>
  <c r="E76" i="50"/>
  <c r="D76" i="50"/>
  <c r="C76" i="50"/>
  <c r="C73" i="50"/>
  <c r="E71" i="50"/>
  <c r="B64" i="50"/>
  <c r="B63" i="50"/>
  <c r="B62" i="50"/>
  <c r="N2" i="50"/>
  <c r="N1" i="50"/>
  <c r="F98" i="49"/>
  <c r="E98" i="49"/>
  <c r="D98" i="49"/>
  <c r="C98" i="49"/>
  <c r="F97" i="49"/>
  <c r="E97" i="49"/>
  <c r="D97" i="49"/>
  <c r="C97" i="49"/>
  <c r="F96" i="49"/>
  <c r="E96" i="49"/>
  <c r="D96" i="49"/>
  <c r="C96" i="49"/>
  <c r="F95" i="49"/>
  <c r="E95" i="49"/>
  <c r="D95" i="49"/>
  <c r="C95" i="49"/>
  <c r="F94" i="49"/>
  <c r="E94" i="49"/>
  <c r="D94" i="49"/>
  <c r="C94" i="49"/>
  <c r="F93" i="49"/>
  <c r="E93" i="49"/>
  <c r="D93" i="49"/>
  <c r="C93" i="49"/>
  <c r="F92" i="49"/>
  <c r="E92" i="49"/>
  <c r="D92" i="49"/>
  <c r="C92" i="49"/>
  <c r="F91" i="49"/>
  <c r="E91" i="49"/>
  <c r="D91" i="49"/>
  <c r="C91" i="49"/>
  <c r="F90" i="49"/>
  <c r="E90" i="49"/>
  <c r="D90" i="49"/>
  <c r="C90" i="49"/>
  <c r="F89" i="49"/>
  <c r="E89" i="49"/>
  <c r="D89" i="49"/>
  <c r="C89" i="49"/>
  <c r="F88" i="49"/>
  <c r="E88" i="49"/>
  <c r="D88" i="49"/>
  <c r="C88" i="49"/>
  <c r="F87" i="49"/>
  <c r="E87" i="49"/>
  <c r="D87" i="49"/>
  <c r="C87" i="49"/>
  <c r="F86" i="49"/>
  <c r="E86" i="49"/>
  <c r="D86" i="49"/>
  <c r="C86" i="49"/>
  <c r="F85" i="49"/>
  <c r="E85" i="49"/>
  <c r="D85" i="49"/>
  <c r="C85" i="49"/>
  <c r="F84" i="49"/>
  <c r="E84" i="49"/>
  <c r="D84" i="49"/>
  <c r="C84" i="49"/>
  <c r="F83" i="49"/>
  <c r="E83" i="49"/>
  <c r="D83" i="49"/>
  <c r="C83" i="49"/>
  <c r="F82" i="49"/>
  <c r="E82" i="49"/>
  <c r="D82" i="49"/>
  <c r="C82" i="49"/>
  <c r="F81" i="49"/>
  <c r="E81" i="49"/>
  <c r="D81" i="49"/>
  <c r="C81" i="49"/>
  <c r="F80" i="49"/>
  <c r="E80" i="49"/>
  <c r="D80" i="49"/>
  <c r="C80" i="49"/>
  <c r="F79" i="49"/>
  <c r="E79" i="49"/>
  <c r="D79" i="49"/>
  <c r="C79" i="49"/>
  <c r="F78" i="49"/>
  <c r="E78" i="49"/>
  <c r="D78" i="49"/>
  <c r="C78" i="49"/>
  <c r="F77" i="49"/>
  <c r="E77" i="49"/>
  <c r="D77" i="49"/>
  <c r="C77" i="49"/>
  <c r="F76" i="49"/>
  <c r="E76" i="49"/>
  <c r="D76" i="49"/>
  <c r="C76" i="49"/>
  <c r="C73" i="49"/>
  <c r="E71" i="49"/>
  <c r="B64" i="49"/>
  <c r="B63" i="49"/>
  <c r="B62" i="49"/>
  <c r="N2" i="49"/>
  <c r="N1" i="49"/>
  <c r="F98" i="48"/>
  <c r="E98" i="48"/>
  <c r="D98" i="48"/>
  <c r="C98" i="48"/>
  <c r="F97" i="48"/>
  <c r="E97" i="48"/>
  <c r="D97" i="48"/>
  <c r="C97" i="48"/>
  <c r="F96" i="48"/>
  <c r="E96" i="48"/>
  <c r="D96" i="48"/>
  <c r="C96" i="48"/>
  <c r="F95" i="48"/>
  <c r="E95" i="48"/>
  <c r="D95" i="48"/>
  <c r="C95" i="48"/>
  <c r="F94" i="48"/>
  <c r="E94" i="48"/>
  <c r="D94" i="48"/>
  <c r="C94" i="48"/>
  <c r="F93" i="48"/>
  <c r="E93" i="48"/>
  <c r="D93" i="48"/>
  <c r="C93" i="48"/>
  <c r="F92" i="48"/>
  <c r="E92" i="48"/>
  <c r="D92" i="48"/>
  <c r="C92" i="48"/>
  <c r="F91" i="48"/>
  <c r="E91" i="48"/>
  <c r="D91" i="48"/>
  <c r="C91" i="48"/>
  <c r="F90" i="48"/>
  <c r="E90" i="48"/>
  <c r="D90" i="48"/>
  <c r="C90" i="48"/>
  <c r="F89" i="48"/>
  <c r="E89" i="48"/>
  <c r="D89" i="48"/>
  <c r="C89" i="48"/>
  <c r="F88" i="48"/>
  <c r="E88" i="48"/>
  <c r="D88" i="48"/>
  <c r="C88" i="48"/>
  <c r="F87" i="48"/>
  <c r="E87" i="48"/>
  <c r="D87" i="48"/>
  <c r="C87" i="48"/>
  <c r="F86" i="48"/>
  <c r="E86" i="48"/>
  <c r="D86" i="48"/>
  <c r="C86" i="48"/>
  <c r="F85" i="48"/>
  <c r="E85" i="48"/>
  <c r="D85" i="48"/>
  <c r="C85" i="48"/>
  <c r="F84" i="48"/>
  <c r="E84" i="48"/>
  <c r="D84" i="48"/>
  <c r="C84" i="48"/>
  <c r="F83" i="48"/>
  <c r="E83" i="48"/>
  <c r="D83" i="48"/>
  <c r="C83" i="48"/>
  <c r="F82" i="48"/>
  <c r="E82" i="48"/>
  <c r="D82" i="48"/>
  <c r="C82" i="48"/>
  <c r="F81" i="48"/>
  <c r="E81" i="48"/>
  <c r="D81" i="48"/>
  <c r="C81" i="48"/>
  <c r="F80" i="48"/>
  <c r="E80" i="48"/>
  <c r="D80" i="48"/>
  <c r="C80" i="48"/>
  <c r="F79" i="48"/>
  <c r="E79" i="48"/>
  <c r="D79" i="48"/>
  <c r="C79" i="48"/>
  <c r="F78" i="48"/>
  <c r="E78" i="48"/>
  <c r="D78" i="48"/>
  <c r="C78" i="48"/>
  <c r="F77" i="48"/>
  <c r="E77" i="48"/>
  <c r="D77" i="48"/>
  <c r="C77" i="48"/>
  <c r="F76" i="48"/>
  <c r="E76" i="48"/>
  <c r="D76" i="48"/>
  <c r="C76" i="48"/>
  <c r="C73" i="48"/>
  <c r="E71" i="48"/>
  <c r="B64" i="48"/>
  <c r="B63" i="48"/>
  <c r="B62" i="48"/>
  <c r="N2" i="48"/>
  <c r="N1" i="48"/>
  <c r="F98" i="47"/>
  <c r="E98" i="47"/>
  <c r="D98" i="47"/>
  <c r="C98" i="47"/>
  <c r="F97" i="47"/>
  <c r="E97" i="47"/>
  <c r="D97" i="47"/>
  <c r="C97" i="47"/>
  <c r="F96" i="47"/>
  <c r="E96" i="47"/>
  <c r="D96" i="47"/>
  <c r="C96" i="47"/>
  <c r="F95" i="47"/>
  <c r="E95" i="47"/>
  <c r="D95" i="47"/>
  <c r="C95" i="47"/>
  <c r="F94" i="47"/>
  <c r="E94" i="47"/>
  <c r="D94" i="47"/>
  <c r="C94" i="47"/>
  <c r="F93" i="47"/>
  <c r="E93" i="47"/>
  <c r="D93" i="47"/>
  <c r="C93" i="47"/>
  <c r="F92" i="47"/>
  <c r="E92" i="47"/>
  <c r="D92" i="47"/>
  <c r="C92" i="47"/>
  <c r="F91" i="47"/>
  <c r="E91" i="47"/>
  <c r="D91" i="47"/>
  <c r="C91" i="47"/>
  <c r="F90" i="47"/>
  <c r="E90" i="47"/>
  <c r="D90" i="47"/>
  <c r="C90" i="47"/>
  <c r="F89" i="47"/>
  <c r="E89" i="47"/>
  <c r="D89" i="47"/>
  <c r="C89" i="47"/>
  <c r="F88" i="47"/>
  <c r="E88" i="47"/>
  <c r="D88" i="47"/>
  <c r="C88" i="47"/>
  <c r="F87" i="47"/>
  <c r="E87" i="47"/>
  <c r="D87" i="47"/>
  <c r="C87" i="47"/>
  <c r="F86" i="47"/>
  <c r="E86" i="47"/>
  <c r="D86" i="47"/>
  <c r="C86" i="47"/>
  <c r="F85" i="47"/>
  <c r="E85" i="47"/>
  <c r="D85" i="47"/>
  <c r="C85" i="47"/>
  <c r="F84" i="47"/>
  <c r="E84" i="47"/>
  <c r="D84" i="47"/>
  <c r="C84" i="47"/>
  <c r="F83" i="47"/>
  <c r="E83" i="47"/>
  <c r="D83" i="47"/>
  <c r="C83" i="47"/>
  <c r="F82" i="47"/>
  <c r="E82" i="47"/>
  <c r="D82" i="47"/>
  <c r="C82" i="47"/>
  <c r="F81" i="47"/>
  <c r="E81" i="47"/>
  <c r="D81" i="47"/>
  <c r="C81" i="47"/>
  <c r="F80" i="47"/>
  <c r="E80" i="47"/>
  <c r="D80" i="47"/>
  <c r="C80" i="47"/>
  <c r="F79" i="47"/>
  <c r="E79" i="47"/>
  <c r="D79" i="47"/>
  <c r="C79" i="47"/>
  <c r="F78" i="47"/>
  <c r="E78" i="47"/>
  <c r="D78" i="47"/>
  <c r="C78" i="47"/>
  <c r="F77" i="47"/>
  <c r="E77" i="47"/>
  <c r="D77" i="47"/>
  <c r="C77" i="47"/>
  <c r="F76" i="47"/>
  <c r="E76" i="47"/>
  <c r="D76" i="47"/>
  <c r="C76" i="47"/>
  <c r="C73" i="47"/>
  <c r="E71" i="47"/>
  <c r="B64" i="47"/>
  <c r="B63" i="47"/>
  <c r="B62" i="47"/>
  <c r="N2" i="47"/>
  <c r="N1" i="47"/>
  <c r="C77" i="26"/>
  <c r="D77" i="26"/>
  <c r="E77" i="26"/>
  <c r="F77" i="26"/>
  <c r="C78" i="26"/>
  <c r="D78" i="26"/>
  <c r="E78" i="26"/>
  <c r="F78" i="26"/>
  <c r="C79" i="26"/>
  <c r="D79" i="26"/>
  <c r="E79" i="26"/>
  <c r="F79" i="26"/>
  <c r="C80" i="26"/>
  <c r="D80" i="26"/>
  <c r="E80" i="26"/>
  <c r="F80" i="26"/>
  <c r="C81" i="26"/>
  <c r="D81" i="26"/>
  <c r="E81" i="26"/>
  <c r="F81" i="26"/>
  <c r="C82" i="26"/>
  <c r="D82" i="26"/>
  <c r="E82" i="26"/>
  <c r="F82" i="26"/>
  <c r="C83" i="26"/>
  <c r="D83" i="26"/>
  <c r="E83" i="26"/>
  <c r="F83" i="26"/>
  <c r="C84" i="26"/>
  <c r="D84" i="26"/>
  <c r="E84" i="26"/>
  <c r="F84" i="26"/>
  <c r="C85" i="26"/>
  <c r="D85" i="26"/>
  <c r="E85" i="26"/>
  <c r="F85" i="26"/>
  <c r="C86" i="26"/>
  <c r="D86" i="26"/>
  <c r="E86" i="26"/>
  <c r="F86" i="26"/>
  <c r="C87" i="26"/>
  <c r="D87" i="26"/>
  <c r="E87" i="26"/>
  <c r="F87" i="26"/>
  <c r="C88" i="26"/>
  <c r="D88" i="26"/>
  <c r="E88" i="26"/>
  <c r="F88" i="26"/>
  <c r="C89" i="26"/>
  <c r="D89" i="26"/>
  <c r="E89" i="26"/>
  <c r="F89" i="26"/>
  <c r="C90" i="26"/>
  <c r="D90" i="26"/>
  <c r="E90" i="26"/>
  <c r="F90" i="26"/>
  <c r="C91" i="26"/>
  <c r="D91" i="26"/>
  <c r="E91" i="26"/>
  <c r="F91" i="26"/>
  <c r="C92" i="26"/>
  <c r="D92" i="26"/>
  <c r="E92" i="26"/>
  <c r="F92" i="26"/>
  <c r="C93" i="26"/>
  <c r="D93" i="26"/>
  <c r="E93" i="26"/>
  <c r="F93" i="26"/>
  <c r="C94" i="26"/>
  <c r="D94" i="26"/>
  <c r="E94" i="26"/>
  <c r="F94" i="26"/>
  <c r="C95" i="26"/>
  <c r="D95" i="26"/>
  <c r="E95" i="26"/>
  <c r="F95" i="26"/>
  <c r="C96" i="26"/>
  <c r="D96" i="26"/>
  <c r="E96" i="26"/>
  <c r="F96" i="26"/>
  <c r="C97" i="26"/>
  <c r="D97" i="26"/>
  <c r="E97" i="26"/>
  <c r="F97" i="26"/>
  <c r="C98" i="26"/>
  <c r="D98" i="26"/>
  <c r="E98" i="26"/>
  <c r="F98" i="26"/>
  <c r="C73" i="26"/>
  <c r="E35" i="45"/>
  <c r="B24" i="45"/>
  <c r="B23" i="45"/>
  <c r="B22" i="45"/>
  <c r="D55" i="45"/>
  <c r="D54" i="45"/>
  <c r="D53" i="45"/>
  <c r="D52" i="45"/>
  <c r="D51" i="45"/>
  <c r="D43" i="45"/>
  <c r="D42" i="45"/>
  <c r="D41" i="45"/>
  <c r="D40" i="45"/>
  <c r="B27" i="45"/>
  <c r="F19" i="45"/>
  <c r="G60" i="45" s="1"/>
  <c r="N2" i="45"/>
  <c r="N1" i="45"/>
  <c r="P57" i="4"/>
  <c r="P59" i="4"/>
  <c r="P58" i="4"/>
  <c r="P60" i="4"/>
  <c r="P62" i="4"/>
  <c r="H9" i="40" l="1"/>
  <c r="H9" i="42"/>
  <c r="H9" i="41"/>
  <c r="H13" i="40"/>
  <c r="H13" i="42"/>
  <c r="H13" i="41"/>
  <c r="G85" i="26"/>
  <c r="G93" i="26"/>
  <c r="G83" i="26"/>
  <c r="G97" i="26"/>
  <c r="C60" i="45"/>
  <c r="E60" i="45"/>
  <c r="G45" i="45"/>
  <c r="E59" i="48"/>
  <c r="F102" i="48" s="1"/>
  <c r="E59" i="50"/>
  <c r="G99" i="50" s="1"/>
  <c r="H77" i="50"/>
  <c r="E59" i="49"/>
  <c r="G99" i="49" s="1"/>
  <c r="H77" i="49"/>
  <c r="H77" i="48"/>
  <c r="E59" i="47"/>
  <c r="G99" i="47" s="1"/>
  <c r="N3" i="45"/>
  <c r="M62" i="4" s="1"/>
  <c r="G61" i="45"/>
  <c r="C61" i="45"/>
  <c r="C19" i="45"/>
  <c r="F61" i="45"/>
  <c r="G57" i="45"/>
  <c r="F60" i="45" s="1"/>
  <c r="E101" i="49" l="1"/>
  <c r="G101" i="48"/>
  <c r="G104" i="49"/>
  <c r="C102" i="50"/>
  <c r="C59" i="48"/>
  <c r="C102" i="48"/>
  <c r="C59" i="50"/>
  <c r="C101" i="48"/>
  <c r="G59" i="50"/>
  <c r="E101" i="48"/>
  <c r="G102" i="48"/>
  <c r="G102" i="50"/>
  <c r="H54" i="48"/>
  <c r="N3" i="48"/>
  <c r="M58" i="4" s="1"/>
  <c r="F101" i="48"/>
  <c r="G99" i="48"/>
  <c r="G59" i="48"/>
  <c r="G104" i="48"/>
  <c r="C101" i="50"/>
  <c r="F101" i="50"/>
  <c r="F102" i="50"/>
  <c r="G101" i="49"/>
  <c r="E101" i="50"/>
  <c r="N3" i="50"/>
  <c r="M60" i="4" s="1"/>
  <c r="G102" i="49"/>
  <c r="H54" i="50"/>
  <c r="G104" i="50"/>
  <c r="C101" i="49"/>
  <c r="C59" i="49"/>
  <c r="G101" i="50"/>
  <c r="H54" i="49"/>
  <c r="C102" i="49"/>
  <c r="F101" i="49"/>
  <c r="G59" i="49"/>
  <c r="N3" i="49"/>
  <c r="M59" i="4" s="1"/>
  <c r="F102" i="49"/>
  <c r="G59" i="47"/>
  <c r="C101" i="47"/>
  <c r="E101" i="47"/>
  <c r="G101" i="47"/>
  <c r="G104" i="47"/>
  <c r="H54" i="47"/>
  <c r="G102" i="47"/>
  <c r="C102" i="47"/>
  <c r="F102" i="47"/>
  <c r="F101" i="47"/>
  <c r="N3" i="47"/>
  <c r="M57" i="4" s="1"/>
  <c r="C59" i="47"/>
  <c r="G64" i="45"/>
  <c r="T62" i="4"/>
  <c r="T60" i="4"/>
  <c r="T59" i="4"/>
  <c r="T57" i="4"/>
  <c r="T58" i="4"/>
  <c r="G19" i="45" l="1"/>
  <c r="E36" i="44" l="1"/>
  <c r="B24" i="44"/>
  <c r="B23" i="44"/>
  <c r="B22" i="44"/>
  <c r="G54" i="44"/>
  <c r="C54" i="44"/>
  <c r="C47" i="44"/>
  <c r="D47" i="44" s="1"/>
  <c r="G10" i="44" s="1"/>
  <c r="D46" i="44"/>
  <c r="D45" i="44"/>
  <c r="D44" i="44"/>
  <c r="D43" i="44"/>
  <c r="D42" i="44"/>
  <c r="B27" i="44"/>
  <c r="F19" i="44"/>
  <c r="E56" i="44" s="1"/>
  <c r="C19" i="44"/>
  <c r="N2" i="44"/>
  <c r="N1" i="44"/>
  <c r="P61" i="4"/>
  <c r="G52" i="44" l="1"/>
  <c r="C57" i="44"/>
  <c r="N3" i="44"/>
  <c r="M61" i="4" s="1"/>
  <c r="G56" i="44"/>
  <c r="F57" i="44"/>
  <c r="G50" i="44"/>
  <c r="G57" i="44"/>
  <c r="C56" i="44"/>
  <c r="T13" i="7"/>
  <c r="T12" i="7"/>
  <c r="T11" i="7"/>
  <c r="T10" i="7"/>
  <c r="F68" i="7"/>
  <c r="E68" i="7"/>
  <c r="C68" i="7"/>
  <c r="F67" i="7"/>
  <c r="C67" i="7"/>
  <c r="H63" i="7"/>
  <c r="H57" i="7"/>
  <c r="G57" i="7"/>
  <c r="F57" i="7"/>
  <c r="E57" i="7"/>
  <c r="H56" i="7"/>
  <c r="G56" i="7"/>
  <c r="F56" i="7"/>
  <c r="E56" i="7"/>
  <c r="H54" i="7"/>
  <c r="G54" i="7"/>
  <c r="F54" i="7"/>
  <c r="E54" i="7"/>
  <c r="H53" i="7"/>
  <c r="G53" i="7"/>
  <c r="F53" i="7"/>
  <c r="E53" i="7"/>
  <c r="H51" i="7"/>
  <c r="H50" i="7"/>
  <c r="G50" i="7"/>
  <c r="F50" i="7"/>
  <c r="E50" i="7"/>
  <c r="H48" i="7"/>
  <c r="G48" i="7"/>
  <c r="H47" i="7"/>
  <c r="G47" i="7"/>
  <c r="F47" i="7"/>
  <c r="E47" i="7"/>
  <c r="H45" i="7"/>
  <c r="H44" i="7"/>
  <c r="G44" i="7"/>
  <c r="F44" i="7"/>
  <c r="E44" i="7"/>
  <c r="H42" i="7"/>
  <c r="H41" i="7"/>
  <c r="G41" i="7"/>
  <c r="F41" i="7"/>
  <c r="E41" i="7"/>
  <c r="H40" i="7"/>
  <c r="H39" i="7"/>
  <c r="G39" i="7"/>
  <c r="F39" i="7"/>
  <c r="E39" i="7"/>
  <c r="H38" i="7"/>
  <c r="G38" i="7"/>
  <c r="F38" i="7"/>
  <c r="E38" i="7"/>
  <c r="H37" i="7"/>
  <c r="G37" i="7"/>
  <c r="F37" i="7"/>
  <c r="E37" i="7"/>
  <c r="H36" i="7"/>
  <c r="G36" i="7"/>
  <c r="F36" i="7"/>
  <c r="E36" i="7"/>
  <c r="H34" i="7"/>
  <c r="G34" i="7"/>
  <c r="F34" i="7"/>
  <c r="E34" i="7"/>
  <c r="F19" i="7"/>
  <c r="N3" i="7" s="1"/>
  <c r="S13" i="7"/>
  <c r="R13" i="7"/>
  <c r="M13" i="7"/>
  <c r="L13" i="7"/>
  <c r="D13" i="7"/>
  <c r="S12" i="7"/>
  <c r="G51" i="7" s="1"/>
  <c r="R12" i="7"/>
  <c r="L12" i="7"/>
  <c r="M12" i="7" s="1"/>
  <c r="G40" i="7" s="1"/>
  <c r="S11" i="7"/>
  <c r="F51" i="7" s="1"/>
  <c r="L11" i="7"/>
  <c r="M11" i="7" s="1"/>
  <c r="F40" i="7" s="1"/>
  <c r="S10" i="7"/>
  <c r="E51" i="7" s="1"/>
  <c r="L10" i="7"/>
  <c r="D9" i="7"/>
  <c r="D7" i="7"/>
  <c r="N2" i="7"/>
  <c r="N1" i="7"/>
  <c r="O13" i="7"/>
  <c r="N13" i="7"/>
  <c r="O10" i="7"/>
  <c r="N10" i="7"/>
  <c r="P13" i="7" l="1"/>
  <c r="F56" i="44"/>
  <c r="G60" i="44" s="1"/>
  <c r="D53" i="7"/>
  <c r="C19" i="7"/>
  <c r="G42" i="7"/>
  <c r="D38" i="7"/>
  <c r="D39" i="7"/>
  <c r="S14" i="7"/>
  <c r="M10" i="7"/>
  <c r="E40" i="7" s="1"/>
  <c r="T14" i="7"/>
  <c r="T61" i="4"/>
  <c r="O11" i="7"/>
  <c r="N11" i="7"/>
  <c r="O12" i="7"/>
  <c r="N12" i="7"/>
  <c r="P11" i="7" l="1"/>
  <c r="Q11" i="7" s="1"/>
  <c r="P12" i="7"/>
  <c r="P10" i="7"/>
  <c r="G19" i="44"/>
  <c r="F42" i="7"/>
  <c r="R11" i="7"/>
  <c r="F48" i="7" s="1"/>
  <c r="E42" i="7" l="1"/>
  <c r="U11" i="7"/>
  <c r="V11" i="7" s="1"/>
  <c r="F45" i="7"/>
  <c r="Q10" i="7"/>
  <c r="E45" i="7" s="1"/>
  <c r="P14" i="7"/>
  <c r="R10" i="7"/>
  <c r="E48" i="7" s="1"/>
  <c r="Q12" i="7"/>
  <c r="Q13" i="7"/>
  <c r="U12" i="7" l="1"/>
  <c r="V12" i="7" s="1"/>
  <c r="G45" i="7"/>
  <c r="U10" i="7"/>
  <c r="V10" i="7" s="1"/>
  <c r="W11" i="7"/>
  <c r="F63" i="7" s="1"/>
  <c r="F60" i="7"/>
  <c r="F59" i="7"/>
  <c r="F61" i="7"/>
  <c r="Q14" i="7"/>
  <c r="U13" i="7"/>
  <c r="V13" i="7" s="1"/>
  <c r="W10" i="7" l="1"/>
  <c r="H60" i="7"/>
  <c r="H61" i="7"/>
  <c r="H59" i="7"/>
  <c r="E60" i="7"/>
  <c r="E61" i="7"/>
  <c r="E59" i="7"/>
  <c r="W12" i="7"/>
  <c r="G63" i="7" s="1"/>
  <c r="G60" i="7"/>
  <c r="G61" i="7"/>
  <c r="G59" i="7"/>
  <c r="V14" i="7"/>
  <c r="U14" i="7"/>
  <c r="E63" i="7"/>
  <c r="W13" i="7"/>
  <c r="E66" i="7" l="1"/>
  <c r="W14" i="7"/>
  <c r="W15" i="7" s="1"/>
  <c r="W16" i="7" l="1"/>
  <c r="G19" i="7" s="1"/>
  <c r="E67" i="7"/>
  <c r="G71" i="7" s="1"/>
  <c r="N2" i="13" l="1"/>
  <c r="E31" i="24" l="1"/>
  <c r="E32" i="12"/>
  <c r="E40" i="34"/>
  <c r="E71" i="26"/>
  <c r="H24" i="26"/>
  <c r="H23" i="26"/>
  <c r="E64" i="41"/>
  <c r="E64" i="42"/>
  <c r="E66" i="33"/>
  <c r="E31" i="9"/>
  <c r="E31" i="8"/>
  <c r="E32" i="6"/>
  <c r="E31" i="7"/>
  <c r="E31" i="22"/>
  <c r="E64" i="40"/>
  <c r="E31" i="23"/>
  <c r="E31" i="21"/>
  <c r="E31" i="20"/>
  <c r="E31" i="19"/>
  <c r="E35" i="18"/>
  <c r="F42" i="15"/>
  <c r="E32" i="17"/>
  <c r="H15" i="26"/>
  <c r="H13" i="26"/>
  <c r="H9" i="26"/>
  <c r="H8" i="26"/>
  <c r="H10" i="33"/>
  <c r="H9" i="33"/>
  <c r="H8" i="33"/>
  <c r="H7" i="33"/>
  <c r="H6" i="33"/>
  <c r="H5" i="33"/>
  <c r="L12" i="6"/>
  <c r="L13" i="6"/>
  <c r="L11" i="6"/>
  <c r="H20" i="42" l="1"/>
  <c r="H21" i="26"/>
  <c r="H20" i="41"/>
  <c r="H10" i="41"/>
  <c r="H10" i="42"/>
  <c r="H21" i="40"/>
  <c r="H21" i="41"/>
  <c r="H21" i="42"/>
  <c r="H5" i="42"/>
  <c r="H5" i="41"/>
  <c r="H12" i="40"/>
  <c r="H12" i="41"/>
  <c r="H12" i="42"/>
  <c r="H6" i="40"/>
  <c r="H6" i="41"/>
  <c r="H6" i="42"/>
  <c r="H10" i="40"/>
  <c r="H14" i="26"/>
  <c r="H18" i="26"/>
  <c r="H17" i="26"/>
  <c r="H20" i="40"/>
  <c r="H22" i="26"/>
  <c r="H18" i="40"/>
  <c r="H15" i="40" l="1"/>
  <c r="H15" i="41"/>
  <c r="H15" i="42"/>
  <c r="H14" i="40"/>
  <c r="H14" i="41"/>
  <c r="H14" i="42"/>
  <c r="H18" i="41"/>
  <c r="H18" i="42"/>
  <c r="H11" i="40"/>
  <c r="H11" i="41"/>
  <c r="H11" i="42"/>
  <c r="H19" i="40"/>
  <c r="H19" i="42"/>
  <c r="H19" i="41"/>
  <c r="K9" i="12"/>
  <c r="L9" i="12"/>
  <c r="M9" i="12"/>
  <c r="K10" i="12"/>
  <c r="L10" i="12"/>
  <c r="M10" i="12"/>
  <c r="K11" i="12"/>
  <c r="L11" i="12"/>
  <c r="M11" i="12"/>
  <c r="H53" i="14"/>
  <c r="G53" i="14"/>
  <c r="E53" i="14"/>
  <c r="D53" i="14"/>
  <c r="H5" i="17"/>
  <c r="D9" i="23"/>
  <c r="E14" i="23"/>
  <c r="C14" i="23"/>
  <c r="L18" i="15" l="1"/>
  <c r="G5" i="40" l="1"/>
  <c r="C5" i="40"/>
  <c r="L14" i="15" l="1"/>
  <c r="L4" i="15"/>
  <c r="L5" i="15"/>
  <c r="L6" i="15"/>
  <c r="L17" i="15"/>
  <c r="L8" i="15" l="1"/>
  <c r="D54" i="15"/>
  <c r="D55" i="15"/>
  <c r="D56" i="15"/>
  <c r="D57" i="15"/>
  <c r="D58" i="15"/>
  <c r="D59" i="15"/>
  <c r="D60" i="15"/>
  <c r="D61" i="15"/>
  <c r="D62" i="15"/>
  <c r="D63" i="15"/>
  <c r="D64" i="15"/>
  <c r="D65" i="15"/>
  <c r="D66" i="15"/>
  <c r="D67" i="15"/>
  <c r="D68" i="15"/>
  <c r="D69" i="15"/>
  <c r="D70" i="15"/>
  <c r="D53" i="15"/>
  <c r="L15" i="15"/>
  <c r="L21" i="15"/>
  <c r="L20" i="15"/>
  <c r="L19" i="15"/>
  <c r="L16" i="15"/>
  <c r="L12" i="15"/>
  <c r="L13" i="15"/>
  <c r="L10" i="15"/>
  <c r="L11" i="15"/>
  <c r="L9" i="15"/>
  <c r="O7" i="15" l="1"/>
  <c r="L7" i="15"/>
  <c r="H7" i="15"/>
  <c r="O4" i="15" l="1"/>
  <c r="O9" i="15"/>
  <c r="O6" i="15"/>
  <c r="O8" i="15"/>
  <c r="O5" i="15"/>
  <c r="C33" i="8"/>
  <c r="F28" i="15" l="1"/>
  <c r="G81" i="15" s="1"/>
  <c r="O10" i="15"/>
  <c r="M12" i="12"/>
  <c r="M13" i="12"/>
  <c r="M8" i="12"/>
  <c r="H29" i="15" l="1"/>
  <c r="G29" i="15"/>
  <c r="F72" i="15"/>
  <c r="G76" i="15"/>
  <c r="F76" i="15"/>
  <c r="C74" i="15"/>
  <c r="F75" i="15"/>
  <c r="C76" i="15"/>
  <c r="F81" i="15"/>
  <c r="E74" i="15"/>
  <c r="C81" i="15"/>
  <c r="C75" i="15"/>
  <c r="G74" i="15"/>
  <c r="G75" i="15"/>
  <c r="P46" i="25" l="1"/>
  <c r="D94" i="25" s="1"/>
  <c r="D87" i="25"/>
  <c r="E87" i="25" s="1"/>
  <c r="D89" i="25"/>
  <c r="E89" i="25" s="1"/>
  <c r="E88" i="25"/>
  <c r="E86" i="25"/>
  <c r="D88" i="25"/>
  <c r="D86" i="25"/>
  <c r="C89" i="25"/>
  <c r="C87" i="25"/>
  <c r="F93" i="25"/>
  <c r="E93" i="25"/>
  <c r="D93" i="25"/>
  <c r="F91" i="25"/>
  <c r="E91" i="25"/>
  <c r="D91" i="25"/>
  <c r="E90" i="25"/>
  <c r="F83" i="25"/>
  <c r="E84" i="25"/>
  <c r="F94" i="25" l="1"/>
  <c r="E94" i="25"/>
  <c r="C29" i="23"/>
  <c r="C66" i="4" l="1"/>
  <c r="D66" i="4"/>
  <c r="C69" i="40"/>
  <c r="D69" i="40"/>
  <c r="E69" i="40"/>
  <c r="F69" i="40"/>
  <c r="C70" i="40"/>
  <c r="D70" i="40"/>
  <c r="E70" i="40"/>
  <c r="F70" i="40"/>
  <c r="C71" i="40"/>
  <c r="D71" i="40"/>
  <c r="E71" i="40"/>
  <c r="F71" i="40"/>
  <c r="C72" i="40"/>
  <c r="D72" i="40"/>
  <c r="E72" i="40"/>
  <c r="F72" i="40"/>
  <c r="C73" i="40"/>
  <c r="D73" i="40"/>
  <c r="E73" i="40"/>
  <c r="F73" i="40"/>
  <c r="C74" i="40"/>
  <c r="D74" i="40"/>
  <c r="E74" i="40"/>
  <c r="F74" i="40"/>
  <c r="C75" i="40"/>
  <c r="D75" i="40"/>
  <c r="E75" i="40"/>
  <c r="F75" i="40"/>
  <c r="C76" i="40"/>
  <c r="D76" i="40"/>
  <c r="E76" i="40"/>
  <c r="F76" i="40"/>
  <c r="C77" i="40"/>
  <c r="D77" i="40"/>
  <c r="E77" i="40"/>
  <c r="F77" i="40"/>
  <c r="C78" i="40"/>
  <c r="D78" i="40"/>
  <c r="E78" i="40"/>
  <c r="F78" i="40"/>
  <c r="C79" i="40"/>
  <c r="D79" i="40"/>
  <c r="E79" i="40"/>
  <c r="F79" i="40"/>
  <c r="C80" i="40"/>
  <c r="D80" i="40"/>
  <c r="E80" i="40"/>
  <c r="F80" i="40"/>
  <c r="C81" i="40"/>
  <c r="D81" i="40"/>
  <c r="E81" i="40"/>
  <c r="F81" i="40"/>
  <c r="C82" i="40"/>
  <c r="D82" i="40"/>
  <c r="E82" i="40"/>
  <c r="F82" i="40"/>
  <c r="C83" i="40"/>
  <c r="D83" i="40"/>
  <c r="E83" i="40"/>
  <c r="F83" i="40"/>
  <c r="C84" i="40"/>
  <c r="D84" i="40"/>
  <c r="E84" i="40"/>
  <c r="F84" i="40"/>
  <c r="C62" i="40"/>
  <c r="C62" i="41"/>
  <c r="C62" i="42"/>
  <c r="B60" i="41"/>
  <c r="B60" i="40"/>
  <c r="B60" i="42"/>
  <c r="F86" i="42"/>
  <c r="E86" i="42"/>
  <c r="D86" i="42"/>
  <c r="C86" i="42"/>
  <c r="F85" i="42"/>
  <c r="E85" i="42"/>
  <c r="D85" i="42"/>
  <c r="C85" i="42"/>
  <c r="F84" i="42"/>
  <c r="E84" i="42"/>
  <c r="D84" i="42"/>
  <c r="C84" i="42"/>
  <c r="F83" i="42"/>
  <c r="E83" i="42"/>
  <c r="D83" i="42"/>
  <c r="C83" i="42"/>
  <c r="F82" i="42"/>
  <c r="E82" i="42"/>
  <c r="D82" i="42"/>
  <c r="C82" i="42"/>
  <c r="F81" i="42"/>
  <c r="E81" i="42"/>
  <c r="D81" i="42"/>
  <c r="C81" i="42"/>
  <c r="F80" i="42"/>
  <c r="E80" i="42"/>
  <c r="D80" i="42"/>
  <c r="C80" i="42"/>
  <c r="F79" i="42"/>
  <c r="E79" i="42"/>
  <c r="D79" i="42"/>
  <c r="C79" i="42"/>
  <c r="F78" i="42"/>
  <c r="E78" i="42"/>
  <c r="D78" i="42"/>
  <c r="C78" i="42"/>
  <c r="F77" i="42"/>
  <c r="E77" i="42"/>
  <c r="D77" i="42"/>
  <c r="C77" i="42"/>
  <c r="F76" i="42"/>
  <c r="E76" i="42"/>
  <c r="D76" i="42"/>
  <c r="C76" i="42"/>
  <c r="F75" i="42"/>
  <c r="E75" i="42"/>
  <c r="D75" i="42"/>
  <c r="C75" i="42"/>
  <c r="F74" i="42"/>
  <c r="E74" i="42"/>
  <c r="D74" i="42"/>
  <c r="C74" i="42"/>
  <c r="F73" i="42"/>
  <c r="E73" i="42"/>
  <c r="D73" i="42"/>
  <c r="C73" i="42"/>
  <c r="F72" i="42"/>
  <c r="E72" i="42"/>
  <c r="D72" i="42"/>
  <c r="C72" i="42"/>
  <c r="F71" i="42"/>
  <c r="E71" i="42"/>
  <c r="D71" i="42"/>
  <c r="C71" i="42"/>
  <c r="F70" i="42"/>
  <c r="E70" i="42"/>
  <c r="D70" i="42"/>
  <c r="C70" i="42"/>
  <c r="F69" i="42"/>
  <c r="E69" i="42"/>
  <c r="D69" i="42"/>
  <c r="C69" i="42"/>
  <c r="F68" i="42"/>
  <c r="E68" i="42"/>
  <c r="D68" i="42"/>
  <c r="C68" i="42"/>
  <c r="F67" i="42"/>
  <c r="E67" i="42"/>
  <c r="D67" i="42"/>
  <c r="C67" i="42"/>
  <c r="B57" i="42"/>
  <c r="B56" i="42"/>
  <c r="B55" i="42"/>
  <c r="H86" i="42"/>
  <c r="G86" i="42"/>
  <c r="H85" i="42"/>
  <c r="G85" i="42"/>
  <c r="H84" i="42"/>
  <c r="G84" i="42"/>
  <c r="H83" i="42"/>
  <c r="G83" i="42"/>
  <c r="H82" i="42"/>
  <c r="G82" i="42"/>
  <c r="H81" i="42"/>
  <c r="G81" i="42"/>
  <c r="H80" i="42"/>
  <c r="G80" i="42"/>
  <c r="H79" i="42"/>
  <c r="G79" i="42"/>
  <c r="H78" i="42"/>
  <c r="G78" i="42"/>
  <c r="H77" i="42"/>
  <c r="G77" i="42"/>
  <c r="H76" i="42"/>
  <c r="G76" i="42"/>
  <c r="H75" i="42"/>
  <c r="G75" i="42"/>
  <c r="H74" i="42"/>
  <c r="G74" i="42"/>
  <c r="H73" i="42"/>
  <c r="G73" i="42"/>
  <c r="H72" i="42"/>
  <c r="G72" i="42"/>
  <c r="H71" i="42"/>
  <c r="G71" i="42"/>
  <c r="H70" i="42"/>
  <c r="G70" i="42"/>
  <c r="H69" i="42"/>
  <c r="G69" i="42"/>
  <c r="H68" i="42"/>
  <c r="G68" i="42"/>
  <c r="G67" i="42"/>
  <c r="N2" i="42"/>
  <c r="N1" i="42"/>
  <c r="F86" i="41"/>
  <c r="E86" i="41"/>
  <c r="D86" i="41"/>
  <c r="C86" i="41"/>
  <c r="F85" i="41"/>
  <c r="E85" i="41"/>
  <c r="D85" i="41"/>
  <c r="C85" i="41"/>
  <c r="F84" i="41"/>
  <c r="E84" i="41"/>
  <c r="D84" i="41"/>
  <c r="C84" i="41"/>
  <c r="F83" i="41"/>
  <c r="E83" i="41"/>
  <c r="D83" i="41"/>
  <c r="C83" i="41"/>
  <c r="F82" i="41"/>
  <c r="E82" i="41"/>
  <c r="D82" i="41"/>
  <c r="C82" i="41"/>
  <c r="F81" i="41"/>
  <c r="E81" i="41"/>
  <c r="D81" i="41"/>
  <c r="C81" i="41"/>
  <c r="F80" i="41"/>
  <c r="E80" i="41"/>
  <c r="D80" i="41"/>
  <c r="C80" i="41"/>
  <c r="F79" i="41"/>
  <c r="E79" i="41"/>
  <c r="D79" i="41"/>
  <c r="C79" i="41"/>
  <c r="F78" i="41"/>
  <c r="E78" i="41"/>
  <c r="D78" i="41"/>
  <c r="C78" i="41"/>
  <c r="F77" i="41"/>
  <c r="E77" i="41"/>
  <c r="D77" i="41"/>
  <c r="C77" i="41"/>
  <c r="F76" i="41"/>
  <c r="E76" i="41"/>
  <c r="D76" i="41"/>
  <c r="C76" i="41"/>
  <c r="F75" i="41"/>
  <c r="E75" i="41"/>
  <c r="D75" i="41"/>
  <c r="C75" i="41"/>
  <c r="F74" i="41"/>
  <c r="E74" i="41"/>
  <c r="D74" i="41"/>
  <c r="C74" i="41"/>
  <c r="F73" i="41"/>
  <c r="E73" i="41"/>
  <c r="D73" i="41"/>
  <c r="C73" i="41"/>
  <c r="F72" i="41"/>
  <c r="E72" i="41"/>
  <c r="D72" i="41"/>
  <c r="C72" i="41"/>
  <c r="F71" i="41"/>
  <c r="E71" i="41"/>
  <c r="D71" i="41"/>
  <c r="C71" i="41"/>
  <c r="F70" i="41"/>
  <c r="E70" i="41"/>
  <c r="D70" i="41"/>
  <c r="C70" i="41"/>
  <c r="F69" i="41"/>
  <c r="E69" i="41"/>
  <c r="D69" i="41"/>
  <c r="C69" i="41"/>
  <c r="F68" i="41"/>
  <c r="E68" i="41"/>
  <c r="D68" i="41"/>
  <c r="C68" i="41"/>
  <c r="F67" i="41"/>
  <c r="E67" i="41"/>
  <c r="D67" i="41"/>
  <c r="C67" i="41"/>
  <c r="B57" i="41"/>
  <c r="B56" i="41"/>
  <c r="B55" i="41"/>
  <c r="H46" i="41"/>
  <c r="H86" i="41" s="1"/>
  <c r="G46" i="41"/>
  <c r="G86" i="41" s="1"/>
  <c r="H45" i="41"/>
  <c r="H85" i="41" s="1"/>
  <c r="G45" i="41"/>
  <c r="G85" i="41" s="1"/>
  <c r="H44" i="41"/>
  <c r="H84" i="41" s="1"/>
  <c r="G44" i="41"/>
  <c r="G84" i="41" s="1"/>
  <c r="H43" i="41"/>
  <c r="H83" i="41" s="1"/>
  <c r="G43" i="41"/>
  <c r="G83" i="41" s="1"/>
  <c r="H42" i="41"/>
  <c r="H82" i="41" s="1"/>
  <c r="G42" i="41"/>
  <c r="G82" i="41" s="1"/>
  <c r="H41" i="41"/>
  <c r="H81" i="41" s="1"/>
  <c r="G41" i="41"/>
  <c r="G81" i="41" s="1"/>
  <c r="H40" i="41"/>
  <c r="H80" i="41" s="1"/>
  <c r="G40" i="41"/>
  <c r="G80" i="41" s="1"/>
  <c r="H39" i="41"/>
  <c r="H79" i="41" s="1"/>
  <c r="G39" i="41"/>
  <c r="G79" i="41" s="1"/>
  <c r="H38" i="41"/>
  <c r="H78" i="41" s="1"/>
  <c r="G38" i="41"/>
  <c r="G78" i="41" s="1"/>
  <c r="H37" i="41"/>
  <c r="H77" i="41" s="1"/>
  <c r="G37" i="41"/>
  <c r="G77" i="41" s="1"/>
  <c r="H36" i="41"/>
  <c r="H76" i="41" s="1"/>
  <c r="G36" i="41"/>
  <c r="G76" i="41" s="1"/>
  <c r="H35" i="41"/>
  <c r="H75" i="41" s="1"/>
  <c r="G35" i="41"/>
  <c r="G75" i="41" s="1"/>
  <c r="H34" i="41"/>
  <c r="H74" i="41" s="1"/>
  <c r="G34" i="41"/>
  <c r="G74" i="41" s="1"/>
  <c r="H33" i="41"/>
  <c r="H73" i="41" s="1"/>
  <c r="G33" i="41"/>
  <c r="G73" i="41" s="1"/>
  <c r="H32" i="41"/>
  <c r="H72" i="41" s="1"/>
  <c r="G32" i="41"/>
  <c r="G72" i="41" s="1"/>
  <c r="H31" i="41"/>
  <c r="H71" i="41" s="1"/>
  <c r="G31" i="41"/>
  <c r="G71" i="41" s="1"/>
  <c r="H30" i="41"/>
  <c r="H70" i="41" s="1"/>
  <c r="G30" i="41"/>
  <c r="G70" i="41" s="1"/>
  <c r="H29" i="41"/>
  <c r="H69" i="41" s="1"/>
  <c r="G29" i="41"/>
  <c r="G69" i="41" s="1"/>
  <c r="H28" i="41"/>
  <c r="H68" i="41" s="1"/>
  <c r="G28" i="41"/>
  <c r="G68" i="41" s="1"/>
  <c r="G27" i="41"/>
  <c r="G67" i="41" s="1"/>
  <c r="N2" i="41"/>
  <c r="N1" i="41"/>
  <c r="F86" i="40"/>
  <c r="E86" i="40"/>
  <c r="D86" i="40"/>
  <c r="C86" i="40"/>
  <c r="F85" i="40"/>
  <c r="E85" i="40"/>
  <c r="D85" i="40"/>
  <c r="C85" i="40"/>
  <c r="F68" i="40"/>
  <c r="E68" i="40"/>
  <c r="D68" i="40"/>
  <c r="C68" i="40"/>
  <c r="F67" i="40"/>
  <c r="E67" i="40"/>
  <c r="D67" i="40"/>
  <c r="C67" i="40"/>
  <c r="B57" i="40"/>
  <c r="B56" i="40"/>
  <c r="B55" i="40"/>
  <c r="H46" i="40"/>
  <c r="H86" i="40" s="1"/>
  <c r="G46" i="40"/>
  <c r="G86" i="40" s="1"/>
  <c r="H45" i="40"/>
  <c r="H85" i="40" s="1"/>
  <c r="G45" i="40"/>
  <c r="G85" i="40" s="1"/>
  <c r="H44" i="40"/>
  <c r="H84" i="40" s="1"/>
  <c r="G44" i="40"/>
  <c r="G84" i="40" s="1"/>
  <c r="H43" i="40"/>
  <c r="H83" i="40" s="1"/>
  <c r="G43" i="40"/>
  <c r="G83" i="40" s="1"/>
  <c r="H42" i="40"/>
  <c r="H82" i="40" s="1"/>
  <c r="G42" i="40"/>
  <c r="G82" i="40" s="1"/>
  <c r="H41" i="40"/>
  <c r="H81" i="40" s="1"/>
  <c r="G41" i="40"/>
  <c r="G81" i="40" s="1"/>
  <c r="H40" i="40"/>
  <c r="H80" i="40" s="1"/>
  <c r="G40" i="40"/>
  <c r="G80" i="40" s="1"/>
  <c r="H39" i="40"/>
  <c r="H79" i="40" s="1"/>
  <c r="G39" i="40"/>
  <c r="G79" i="40" s="1"/>
  <c r="H38" i="40"/>
  <c r="H78" i="40" s="1"/>
  <c r="G38" i="40"/>
  <c r="G78" i="40" s="1"/>
  <c r="H37" i="40"/>
  <c r="H77" i="40" s="1"/>
  <c r="G37" i="40"/>
  <c r="G77" i="40" s="1"/>
  <c r="H36" i="40"/>
  <c r="H76" i="40" s="1"/>
  <c r="G36" i="40"/>
  <c r="G76" i="40" s="1"/>
  <c r="H35" i="40"/>
  <c r="H75" i="40" s="1"/>
  <c r="G35" i="40"/>
  <c r="G75" i="40" s="1"/>
  <c r="H34" i="40"/>
  <c r="H74" i="40" s="1"/>
  <c r="G34" i="40"/>
  <c r="G74" i="40" s="1"/>
  <c r="H33" i="40"/>
  <c r="H73" i="40" s="1"/>
  <c r="G33" i="40"/>
  <c r="G73" i="40" s="1"/>
  <c r="H32" i="40"/>
  <c r="H72" i="40" s="1"/>
  <c r="G32" i="40"/>
  <c r="G72" i="40" s="1"/>
  <c r="H31" i="40"/>
  <c r="H71" i="40" s="1"/>
  <c r="G31" i="40"/>
  <c r="G71" i="40" s="1"/>
  <c r="H30" i="40"/>
  <c r="H70" i="40" s="1"/>
  <c r="G30" i="40"/>
  <c r="G70" i="40" s="1"/>
  <c r="H29" i="40"/>
  <c r="H69" i="40" s="1"/>
  <c r="G29" i="40"/>
  <c r="G69" i="40" s="1"/>
  <c r="H28" i="40"/>
  <c r="H68" i="40" s="1"/>
  <c r="G28" i="40"/>
  <c r="G68" i="40" s="1"/>
  <c r="G27" i="40"/>
  <c r="G67" i="40" s="1"/>
  <c r="N2" i="40"/>
  <c r="N1" i="40"/>
  <c r="P54" i="4"/>
  <c r="P52" i="4"/>
  <c r="P39" i="4"/>
  <c r="H27" i="40" l="1"/>
  <c r="E52" i="40" s="1"/>
  <c r="H27" i="41"/>
  <c r="H67" i="41" s="1"/>
  <c r="E52" i="42"/>
  <c r="C52" i="42" s="1"/>
  <c r="H67" i="42"/>
  <c r="B53" i="25"/>
  <c r="B23" i="14"/>
  <c r="B54" i="25"/>
  <c r="B24" i="14"/>
  <c r="B52" i="25"/>
  <c r="B22" i="13"/>
  <c r="N2" i="23"/>
  <c r="N2" i="22"/>
  <c r="H67" i="40" l="1"/>
  <c r="N3" i="40"/>
  <c r="M39" i="4" s="1"/>
  <c r="H47" i="40"/>
  <c r="E89" i="40"/>
  <c r="G87" i="40"/>
  <c r="C52" i="40"/>
  <c r="F90" i="40"/>
  <c r="C90" i="40"/>
  <c r="C89" i="40"/>
  <c r="G90" i="40"/>
  <c r="G89" i="40"/>
  <c r="E52" i="41"/>
  <c r="G90" i="41" s="1"/>
  <c r="G87" i="42"/>
  <c r="C90" i="42"/>
  <c r="G89" i="42"/>
  <c r="N3" i="42"/>
  <c r="M54" i="4" s="1"/>
  <c r="C89" i="42"/>
  <c r="G90" i="42"/>
  <c r="H47" i="42"/>
  <c r="F90" i="42"/>
  <c r="E89" i="42"/>
  <c r="E89" i="41" l="1"/>
  <c r="F89" i="41" s="1"/>
  <c r="H47" i="41"/>
  <c r="N3" i="41"/>
  <c r="M52" i="4" s="1"/>
  <c r="C89" i="41"/>
  <c r="G87" i="41"/>
  <c r="F90" i="41"/>
  <c r="C90" i="41"/>
  <c r="C52" i="41"/>
  <c r="G89" i="41"/>
  <c r="F89" i="42"/>
  <c r="F89" i="40"/>
  <c r="G92" i="40" s="1"/>
  <c r="G92" i="41"/>
  <c r="G92" i="42"/>
  <c r="H62" i="34"/>
  <c r="H44" i="34"/>
  <c r="H45" i="34"/>
  <c r="H46" i="34"/>
  <c r="H47" i="34"/>
  <c r="H48" i="34"/>
  <c r="H49" i="34"/>
  <c r="H50" i="34"/>
  <c r="H51" i="34"/>
  <c r="H52" i="34"/>
  <c r="H53" i="34"/>
  <c r="H54" i="34"/>
  <c r="H55" i="34"/>
  <c r="H56" i="34"/>
  <c r="H57" i="34"/>
  <c r="H58" i="34"/>
  <c r="H59" i="34"/>
  <c r="H60" i="34"/>
  <c r="H61" i="34"/>
  <c r="H43" i="34"/>
  <c r="C44" i="34"/>
  <c r="C45" i="34"/>
  <c r="C46" i="34"/>
  <c r="C47" i="34"/>
  <c r="C48" i="34"/>
  <c r="C49" i="34"/>
  <c r="C50" i="34"/>
  <c r="C51" i="34"/>
  <c r="C52" i="34"/>
  <c r="C53" i="34"/>
  <c r="C54" i="34"/>
  <c r="C55" i="34"/>
  <c r="C56" i="34"/>
  <c r="C57" i="34"/>
  <c r="C58" i="34"/>
  <c r="C59" i="34"/>
  <c r="C60" i="34"/>
  <c r="C61" i="34"/>
  <c r="C62" i="34"/>
  <c r="C43" i="34"/>
  <c r="E28" i="34"/>
  <c r="B36" i="34"/>
  <c r="B33" i="34"/>
  <c r="B32" i="34"/>
  <c r="B31" i="34"/>
  <c r="N2" i="34"/>
  <c r="N1" i="34"/>
  <c r="F88" i="33"/>
  <c r="E88" i="33"/>
  <c r="D88" i="33"/>
  <c r="C88" i="33"/>
  <c r="F87" i="33"/>
  <c r="E87" i="33"/>
  <c r="D87" i="33"/>
  <c r="C87" i="33"/>
  <c r="F86" i="33"/>
  <c r="E86" i="33"/>
  <c r="D86" i="33"/>
  <c r="C86" i="33"/>
  <c r="F85" i="33"/>
  <c r="E85" i="33"/>
  <c r="D85" i="33"/>
  <c r="C85" i="33"/>
  <c r="F84" i="33"/>
  <c r="E84" i="33"/>
  <c r="D84" i="33"/>
  <c r="C84" i="33"/>
  <c r="F83" i="33"/>
  <c r="E83" i="33"/>
  <c r="D83" i="33"/>
  <c r="C83" i="33"/>
  <c r="F82" i="33"/>
  <c r="E82" i="33"/>
  <c r="D82" i="33"/>
  <c r="C82" i="33"/>
  <c r="F81" i="33"/>
  <c r="E81" i="33"/>
  <c r="D81" i="33"/>
  <c r="C81" i="33"/>
  <c r="F80" i="33"/>
  <c r="E80" i="33"/>
  <c r="D80" i="33"/>
  <c r="C80" i="33"/>
  <c r="F79" i="33"/>
  <c r="E79" i="33"/>
  <c r="D79" i="33"/>
  <c r="C79" i="33"/>
  <c r="F78" i="33"/>
  <c r="E78" i="33"/>
  <c r="D78" i="33"/>
  <c r="C78" i="33"/>
  <c r="F77" i="33"/>
  <c r="E77" i="33"/>
  <c r="D77" i="33"/>
  <c r="C77" i="33"/>
  <c r="F76" i="33"/>
  <c r="E76" i="33"/>
  <c r="D76" i="33"/>
  <c r="C76" i="33"/>
  <c r="F75" i="33"/>
  <c r="E75" i="33"/>
  <c r="D75" i="33"/>
  <c r="C75" i="33"/>
  <c r="F74" i="33"/>
  <c r="E74" i="33"/>
  <c r="D74" i="33"/>
  <c r="C74" i="33"/>
  <c r="F73" i="33"/>
  <c r="E73" i="33"/>
  <c r="D73" i="33"/>
  <c r="C73" i="33"/>
  <c r="F72" i="33"/>
  <c r="E72" i="33"/>
  <c r="D72" i="33"/>
  <c r="C72" i="33"/>
  <c r="F71" i="33"/>
  <c r="E71" i="33"/>
  <c r="D71" i="33"/>
  <c r="C71" i="33"/>
  <c r="F70" i="33"/>
  <c r="E70" i="33"/>
  <c r="D70" i="33"/>
  <c r="C70" i="33"/>
  <c r="F69" i="33"/>
  <c r="E69" i="33"/>
  <c r="D69" i="33"/>
  <c r="C69" i="33"/>
  <c r="B62" i="33"/>
  <c r="B59" i="33"/>
  <c r="B58" i="33"/>
  <c r="B57" i="33"/>
  <c r="H48" i="33"/>
  <c r="H88" i="33" s="1"/>
  <c r="G48" i="33"/>
  <c r="G88" i="33" s="1"/>
  <c r="H47" i="33"/>
  <c r="H87" i="33" s="1"/>
  <c r="G47" i="33"/>
  <c r="G87" i="33" s="1"/>
  <c r="H46" i="33"/>
  <c r="H86" i="33" s="1"/>
  <c r="G46" i="33"/>
  <c r="G86" i="33" s="1"/>
  <c r="H45" i="33"/>
  <c r="H85" i="33" s="1"/>
  <c r="G45" i="33"/>
  <c r="G85" i="33" s="1"/>
  <c r="H44" i="33"/>
  <c r="H84" i="33" s="1"/>
  <c r="G44" i="33"/>
  <c r="G84" i="33" s="1"/>
  <c r="H43" i="33"/>
  <c r="H83" i="33" s="1"/>
  <c r="G43" i="33"/>
  <c r="G83" i="33" s="1"/>
  <c r="H42" i="33"/>
  <c r="H82" i="33" s="1"/>
  <c r="G42" i="33"/>
  <c r="G82" i="33" s="1"/>
  <c r="H41" i="33"/>
  <c r="H81" i="33" s="1"/>
  <c r="G41" i="33"/>
  <c r="G81" i="33" s="1"/>
  <c r="H40" i="33"/>
  <c r="H80" i="33" s="1"/>
  <c r="G40" i="33"/>
  <c r="G80" i="33" s="1"/>
  <c r="H39" i="33"/>
  <c r="H79" i="33" s="1"/>
  <c r="G39" i="33"/>
  <c r="G79" i="33" s="1"/>
  <c r="H38" i="33"/>
  <c r="H78" i="33" s="1"/>
  <c r="G38" i="33"/>
  <c r="G78" i="33" s="1"/>
  <c r="H37" i="33"/>
  <c r="H77" i="33" s="1"/>
  <c r="G37" i="33"/>
  <c r="G77" i="33" s="1"/>
  <c r="H36" i="33"/>
  <c r="H76" i="33" s="1"/>
  <c r="G36" i="33"/>
  <c r="G76" i="33" s="1"/>
  <c r="H35" i="33"/>
  <c r="H75" i="33" s="1"/>
  <c r="G35" i="33"/>
  <c r="G75" i="33" s="1"/>
  <c r="H34" i="33"/>
  <c r="H74" i="33" s="1"/>
  <c r="G34" i="33"/>
  <c r="G74" i="33" s="1"/>
  <c r="H33" i="33"/>
  <c r="H73" i="33" s="1"/>
  <c r="G33" i="33"/>
  <c r="G73" i="33" s="1"/>
  <c r="H32" i="33"/>
  <c r="H72" i="33" s="1"/>
  <c r="G32" i="33"/>
  <c r="G72" i="33" s="1"/>
  <c r="H31" i="33"/>
  <c r="H71" i="33" s="1"/>
  <c r="G31" i="33"/>
  <c r="G71" i="33" s="1"/>
  <c r="H30" i="33"/>
  <c r="H70" i="33" s="1"/>
  <c r="G30" i="33"/>
  <c r="G70" i="33" s="1"/>
  <c r="G29" i="33"/>
  <c r="G69" i="33" s="1"/>
  <c r="N2" i="33"/>
  <c r="N1" i="33"/>
  <c r="T54" i="4"/>
  <c r="T39" i="4"/>
  <c r="T52" i="4"/>
  <c r="P63" i="4"/>
  <c r="P55" i="4"/>
  <c r="H29" i="33" l="1"/>
  <c r="H69" i="33" s="1"/>
  <c r="G52" i="40"/>
  <c r="G52" i="41"/>
  <c r="G65" i="34"/>
  <c r="C65" i="34"/>
  <c r="E65" i="34"/>
  <c r="F65" i="34" s="1"/>
  <c r="G52" i="42"/>
  <c r="N2" i="25"/>
  <c r="N1" i="25"/>
  <c r="N2" i="14"/>
  <c r="N2" i="26"/>
  <c r="N1" i="26"/>
  <c r="N1" i="14"/>
  <c r="N1" i="13"/>
  <c r="N2" i="12"/>
  <c r="N1" i="12"/>
  <c r="N2" i="24"/>
  <c r="N1" i="24"/>
  <c r="E54" i="33" l="1"/>
  <c r="C91" i="33" s="1"/>
  <c r="G63" i="34"/>
  <c r="C28" i="34"/>
  <c r="N3" i="34"/>
  <c r="M63" i="4" s="1"/>
  <c r="N2" i="9"/>
  <c r="N1" i="9"/>
  <c r="N2" i="8"/>
  <c r="N1" i="8"/>
  <c r="N2" i="6"/>
  <c r="N1" i="6"/>
  <c r="N1" i="22"/>
  <c r="N1" i="23"/>
  <c r="N2" i="21"/>
  <c r="N1" i="21"/>
  <c r="N2" i="20"/>
  <c r="N1" i="20"/>
  <c r="N2" i="19"/>
  <c r="N1" i="19"/>
  <c r="N2" i="18"/>
  <c r="N1" i="18"/>
  <c r="N2" i="17"/>
  <c r="N1" i="17"/>
  <c r="N2" i="15"/>
  <c r="N1" i="15"/>
  <c r="U32" i="4"/>
  <c r="F92" i="33" l="1"/>
  <c r="G91" i="33"/>
  <c r="G92" i="33"/>
  <c r="G89" i="33"/>
  <c r="C92" i="33"/>
  <c r="H49" i="33"/>
  <c r="E91" i="33"/>
  <c r="C54" i="33"/>
  <c r="N3" i="33"/>
  <c r="M55" i="4" s="1"/>
  <c r="G67" i="34"/>
  <c r="F91" i="33"/>
  <c r="G94" i="33" s="1"/>
  <c r="G54" i="33" s="1"/>
  <c r="T55" i="4"/>
  <c r="T63" i="4"/>
  <c r="U65" i="4" l="1"/>
  <c r="C71" i="4" s="1"/>
  <c r="G28" i="34"/>
  <c r="H71" i="4" l="1"/>
  <c r="M41" i="4"/>
  <c r="F19" i="14" l="1"/>
  <c r="N3" i="14" l="1"/>
  <c r="M53" i="4" s="1"/>
  <c r="G56" i="14"/>
  <c r="C56" i="14"/>
  <c r="G57" i="14"/>
  <c r="E56" i="14"/>
  <c r="F57" i="14"/>
  <c r="C57" i="14"/>
  <c r="H61" i="25"/>
  <c r="P42" i="25"/>
  <c r="P44" i="25"/>
  <c r="D80" i="25"/>
  <c r="C17" i="4" l="1"/>
  <c r="C69" i="4"/>
  <c r="G59" i="25"/>
  <c r="D76" i="26"/>
  <c r="E76" i="26"/>
  <c r="F76" i="26"/>
  <c r="C76" i="26"/>
  <c r="G77" i="26"/>
  <c r="G78" i="26"/>
  <c r="G79" i="26"/>
  <c r="G80" i="26"/>
  <c r="G81" i="26"/>
  <c r="G82" i="26"/>
  <c r="G86" i="26"/>
  <c r="G87" i="26"/>
  <c r="G88" i="26"/>
  <c r="G89" i="26"/>
  <c r="G91" i="26"/>
  <c r="G92" i="26"/>
  <c r="G94" i="26"/>
  <c r="G95" i="26"/>
  <c r="G96" i="26"/>
  <c r="B64" i="26"/>
  <c r="B63" i="26"/>
  <c r="B62" i="26"/>
  <c r="B8" i="23"/>
  <c r="B7" i="23"/>
  <c r="B4" i="23"/>
  <c r="G4" i="23"/>
  <c r="P56" i="4"/>
  <c r="H5" i="40" l="1"/>
  <c r="G76" i="26"/>
  <c r="H82" i="26"/>
  <c r="H80" i="26"/>
  <c r="H92" i="26"/>
  <c r="H81" i="26"/>
  <c r="H94" i="26"/>
  <c r="H95" i="26"/>
  <c r="H87" i="26"/>
  <c r="H77" i="26"/>
  <c r="H88" i="26"/>
  <c r="H96" i="26"/>
  <c r="H86" i="26"/>
  <c r="H78" i="26"/>
  <c r="H89" i="26"/>
  <c r="H79" i="26"/>
  <c r="H91" i="26"/>
  <c r="E38" i="19"/>
  <c r="E42" i="18"/>
  <c r="D38" i="19"/>
  <c r="D42" i="18"/>
  <c r="H12" i="17"/>
  <c r="D36" i="17"/>
  <c r="M4" i="17"/>
  <c r="H6" i="17"/>
  <c r="C29" i="17"/>
  <c r="H30" i="4"/>
  <c r="D68" i="25"/>
  <c r="E68" i="25" s="1"/>
  <c r="D67" i="25"/>
  <c r="D64" i="25"/>
  <c r="P43" i="25"/>
  <c r="H43" i="25"/>
  <c r="H104" i="25" s="1"/>
  <c r="H42" i="25"/>
  <c r="H103" i="25" s="1"/>
  <c r="H41" i="25"/>
  <c r="H102" i="25" s="1"/>
  <c r="H40" i="25"/>
  <c r="H101" i="25" s="1"/>
  <c r="H39" i="25"/>
  <c r="H100" i="25" s="1"/>
  <c r="H38" i="25"/>
  <c r="H99" i="25" s="1"/>
  <c r="C14" i="25"/>
  <c r="F104" i="25"/>
  <c r="F103" i="25"/>
  <c r="F102" i="25"/>
  <c r="F101" i="25"/>
  <c r="F100" i="25"/>
  <c r="F99" i="25"/>
  <c r="F98" i="25"/>
  <c r="D85" i="25"/>
  <c r="D95" i="25" s="1"/>
  <c r="C85" i="25"/>
  <c r="D84" i="25"/>
  <c r="H95" i="25" s="1"/>
  <c r="D79" i="25"/>
  <c r="D73" i="25"/>
  <c r="E72" i="25"/>
  <c r="E69" i="25"/>
  <c r="D69" i="25"/>
  <c r="C66" i="25"/>
  <c r="D65" i="25"/>
  <c r="E64" i="25"/>
  <c r="B57" i="25"/>
  <c r="P47" i="25"/>
  <c r="H35" i="25" s="1"/>
  <c r="P45" i="25"/>
  <c r="P51" i="4"/>
  <c r="H81" i="25" l="1"/>
  <c r="H75" i="25"/>
  <c r="H15" i="25" s="1"/>
  <c r="E85" i="25"/>
  <c r="F49" i="25"/>
  <c r="H31" i="26"/>
  <c r="H76" i="26" s="1"/>
  <c r="H105" i="25"/>
  <c r="H36" i="25" s="1"/>
  <c r="H70" i="25"/>
  <c r="H8" i="25" s="1"/>
  <c r="H22" i="25" l="1"/>
  <c r="H20" i="25" s="1"/>
  <c r="N3" i="25"/>
  <c r="M51" i="4" s="1"/>
  <c r="C49" i="25"/>
  <c r="E107" i="25"/>
  <c r="F107" i="25" s="1"/>
  <c r="G108" i="25"/>
  <c r="F108" i="25"/>
  <c r="G107" i="25"/>
  <c r="C108" i="25"/>
  <c r="C107" i="25"/>
  <c r="E59" i="26"/>
  <c r="N3" i="26" s="1"/>
  <c r="M56" i="4" s="1"/>
  <c r="C59" i="26" l="1"/>
  <c r="F102" i="26"/>
  <c r="G101" i="26"/>
  <c r="G102" i="26"/>
  <c r="G110" i="25"/>
  <c r="C101" i="26"/>
  <c r="C102" i="26"/>
  <c r="H54" i="26"/>
  <c r="G99" i="26" s="1"/>
  <c r="E101" i="26"/>
  <c r="C53" i="24"/>
  <c r="C36" i="24"/>
  <c r="B24" i="24"/>
  <c r="B23" i="24"/>
  <c r="B22" i="24"/>
  <c r="N18" i="24"/>
  <c r="N17" i="24"/>
  <c r="N16" i="24"/>
  <c r="N15" i="24"/>
  <c r="N14" i="24"/>
  <c r="N13" i="24"/>
  <c r="O12" i="24"/>
  <c r="G4" i="24"/>
  <c r="L14" i="24" s="1"/>
  <c r="H44" i="24"/>
  <c r="G44" i="24"/>
  <c r="F44" i="24"/>
  <c r="E44" i="24"/>
  <c r="D44" i="24"/>
  <c r="P15" i="24" s="1"/>
  <c r="C44" i="24"/>
  <c r="H43" i="24"/>
  <c r="G43" i="24"/>
  <c r="F43" i="24"/>
  <c r="E43" i="24"/>
  <c r="D43" i="24"/>
  <c r="P14" i="24" s="1"/>
  <c r="C43" i="24"/>
  <c r="H42" i="24"/>
  <c r="G42" i="24"/>
  <c r="F42" i="24"/>
  <c r="L16" i="24" s="1"/>
  <c r="E42" i="24"/>
  <c r="D42" i="24"/>
  <c r="P13" i="24" s="1"/>
  <c r="C42" i="24"/>
  <c r="E38" i="24"/>
  <c r="C34" i="24"/>
  <c r="B27" i="24"/>
  <c r="L18" i="24"/>
  <c r="F12" i="24"/>
  <c r="D12" i="24"/>
  <c r="H6" i="24"/>
  <c r="E39" i="24" s="1"/>
  <c r="B24" i="22"/>
  <c r="B23" i="22"/>
  <c r="B22" i="22"/>
  <c r="D12" i="22"/>
  <c r="D41" i="22" s="1"/>
  <c r="D6" i="22"/>
  <c r="E42" i="22"/>
  <c r="D42" i="22"/>
  <c r="C42" i="22"/>
  <c r="E41" i="22"/>
  <c r="D40" i="22"/>
  <c r="D39" i="22"/>
  <c r="C36" i="22"/>
  <c r="B27" i="22"/>
  <c r="F19" i="22"/>
  <c r="B24" i="23"/>
  <c r="B23" i="23"/>
  <c r="B22" i="23"/>
  <c r="D13" i="23"/>
  <c r="D12" i="23"/>
  <c r="D44" i="23" s="1"/>
  <c r="D11" i="23"/>
  <c r="D43" i="23" s="1"/>
  <c r="D10" i="23"/>
  <c r="D42" i="23" s="1"/>
  <c r="D41" i="23"/>
  <c r="E45" i="23"/>
  <c r="E44" i="23"/>
  <c r="E43" i="23"/>
  <c r="E42" i="23"/>
  <c r="E41" i="23"/>
  <c r="D40" i="23"/>
  <c r="D39" i="23"/>
  <c r="D38" i="23"/>
  <c r="D37" i="23"/>
  <c r="D36" i="23"/>
  <c r="B27" i="23"/>
  <c r="B24" i="21"/>
  <c r="B23" i="21"/>
  <c r="B22" i="21"/>
  <c r="D12" i="21"/>
  <c r="E42" i="21"/>
  <c r="D42" i="21"/>
  <c r="C42" i="21"/>
  <c r="E41" i="21"/>
  <c r="E40" i="21"/>
  <c r="D39" i="21"/>
  <c r="D38" i="21"/>
  <c r="C36" i="21"/>
  <c r="B27" i="21"/>
  <c r="F19" i="21"/>
  <c r="F43" i="21" s="1"/>
  <c r="G4" i="21"/>
  <c r="B24" i="20"/>
  <c r="B23" i="20"/>
  <c r="B22" i="20"/>
  <c r="B27" i="20"/>
  <c r="M10" i="20"/>
  <c r="H10" i="20"/>
  <c r="M9" i="20"/>
  <c r="H9" i="20"/>
  <c r="M8" i="20"/>
  <c r="H8" i="20"/>
  <c r="M7" i="20"/>
  <c r="H7" i="20"/>
  <c r="M6" i="20"/>
  <c r="H6" i="20"/>
  <c r="C33" i="19"/>
  <c r="B24" i="19"/>
  <c r="B23" i="19"/>
  <c r="B22" i="19"/>
  <c r="M15" i="19"/>
  <c r="M14" i="19"/>
  <c r="M13" i="19"/>
  <c r="D39" i="19"/>
  <c r="D37" i="19"/>
  <c r="B27" i="19"/>
  <c r="H12" i="19"/>
  <c r="F19" i="19"/>
  <c r="B24" i="18"/>
  <c r="B23" i="18"/>
  <c r="B22" i="18"/>
  <c r="M10" i="18"/>
  <c r="M15" i="18" s="1"/>
  <c r="H5" i="18"/>
  <c r="C32" i="18" s="1"/>
  <c r="D41" i="18"/>
  <c r="D40" i="18"/>
  <c r="C33" i="18"/>
  <c r="C31" i="18"/>
  <c r="B27" i="18"/>
  <c r="F19" i="18"/>
  <c r="N3" i="18" s="1"/>
  <c r="M34" i="4" s="1"/>
  <c r="C24" i="17"/>
  <c r="C23" i="17"/>
  <c r="C22" i="17"/>
  <c r="D9" i="17"/>
  <c r="D40" i="17" s="1"/>
  <c r="E41" i="17"/>
  <c r="D41" i="17"/>
  <c r="E40" i="17"/>
  <c r="D38" i="17"/>
  <c r="C11" i="17"/>
  <c r="P37" i="4"/>
  <c r="P38" i="4"/>
  <c r="P40" i="4"/>
  <c r="T51" i="4"/>
  <c r="P34" i="4"/>
  <c r="P48" i="4"/>
  <c r="P35" i="4"/>
  <c r="P36" i="4"/>
  <c r="F101" i="26" l="1"/>
  <c r="G56" i="22"/>
  <c r="G57" i="22"/>
  <c r="F57" i="22"/>
  <c r="C56" i="22"/>
  <c r="D45" i="23"/>
  <c r="F45" i="21"/>
  <c r="N3" i="22"/>
  <c r="M40" i="4" s="1"/>
  <c r="F43" i="22"/>
  <c r="D38" i="22"/>
  <c r="N3" i="19"/>
  <c r="M35" i="4" s="1"/>
  <c r="N3" i="21"/>
  <c r="G49" i="25"/>
  <c r="R14" i="24"/>
  <c r="T14" i="24" s="1"/>
  <c r="F19" i="20"/>
  <c r="G104" i="26"/>
  <c r="G59" i="26" s="1"/>
  <c r="R15" i="24"/>
  <c r="T15" i="24" s="1"/>
  <c r="L17" i="24"/>
  <c r="R13" i="24"/>
  <c r="F46" i="24"/>
  <c r="D41" i="21"/>
  <c r="C45" i="21"/>
  <c r="D43" i="20"/>
  <c r="F44" i="19"/>
  <c r="D42" i="17"/>
  <c r="E42" i="17"/>
  <c r="C14" i="17"/>
  <c r="I9" i="17"/>
  <c r="C34" i="17"/>
  <c r="B27" i="17"/>
  <c r="M11" i="17"/>
  <c r="O11" i="17"/>
  <c r="Q11" i="17"/>
  <c r="N12" i="17"/>
  <c r="P12" i="17"/>
  <c r="H13" i="17"/>
  <c r="N13" i="17"/>
  <c r="P13" i="17"/>
  <c r="P16" i="24"/>
  <c r="N11" i="17"/>
  <c r="P11" i="17"/>
  <c r="M12" i="17"/>
  <c r="O12" i="17"/>
  <c r="Q12" i="17"/>
  <c r="M13" i="17"/>
  <c r="O13" i="17"/>
  <c r="Q13" i="17"/>
  <c r="C30" i="17"/>
  <c r="L13" i="24"/>
  <c r="L15" i="24"/>
  <c r="C46" i="24"/>
  <c r="E46" i="24"/>
  <c r="E47" i="24"/>
  <c r="H12" i="24"/>
  <c r="F19" i="24"/>
  <c r="C45" i="22"/>
  <c r="C57" i="22"/>
  <c r="C19" i="22"/>
  <c r="F45" i="22"/>
  <c r="E56" i="22"/>
  <c r="F19" i="23"/>
  <c r="F48" i="23" s="1"/>
  <c r="C56" i="21"/>
  <c r="C57" i="21"/>
  <c r="G57" i="21"/>
  <c r="C19" i="21"/>
  <c r="E56" i="21"/>
  <c r="G56" i="21"/>
  <c r="F57" i="21"/>
  <c r="C39" i="20"/>
  <c r="E39" i="20"/>
  <c r="H39" i="20"/>
  <c r="D40" i="20"/>
  <c r="C41" i="20"/>
  <c r="E41" i="20"/>
  <c r="H41" i="20"/>
  <c r="D42" i="20"/>
  <c r="C43" i="20"/>
  <c r="E43" i="20"/>
  <c r="H43" i="20"/>
  <c r="D39" i="20"/>
  <c r="C40" i="20"/>
  <c r="E40" i="20"/>
  <c r="H40" i="20"/>
  <c r="D41" i="20"/>
  <c r="C42" i="20"/>
  <c r="E42" i="20"/>
  <c r="H42" i="20"/>
  <c r="C19" i="19"/>
  <c r="C56" i="19"/>
  <c r="C57" i="19"/>
  <c r="G57" i="19"/>
  <c r="E56" i="19"/>
  <c r="G56" i="19"/>
  <c r="F57" i="19"/>
  <c r="M12" i="18"/>
  <c r="F45" i="18" s="1"/>
  <c r="M14" i="18"/>
  <c r="C37" i="18"/>
  <c r="M13" i="18"/>
  <c r="C19" i="18"/>
  <c r="C56" i="18"/>
  <c r="C57" i="18"/>
  <c r="G57" i="18"/>
  <c r="E56" i="18"/>
  <c r="G56" i="18"/>
  <c r="F57" i="18"/>
  <c r="Q17" i="17"/>
  <c r="K11" i="17"/>
  <c r="G7" i="17"/>
  <c r="P33" i="4"/>
  <c r="T56" i="4"/>
  <c r="F56" i="22" l="1"/>
  <c r="C50" i="23"/>
  <c r="F50" i="23"/>
  <c r="M37" i="4"/>
  <c r="G60" i="22"/>
  <c r="N3" i="24"/>
  <c r="M48" i="4" s="1"/>
  <c r="N3" i="20"/>
  <c r="M36" i="4" s="1"/>
  <c r="N3" i="23"/>
  <c r="M38" i="4" s="1"/>
  <c r="R16" i="24"/>
  <c r="T16" i="24" s="1"/>
  <c r="L8" i="24" s="1"/>
  <c r="T13" i="24"/>
  <c r="F56" i="18"/>
  <c r="F59" i="24"/>
  <c r="G58" i="24"/>
  <c r="E58" i="24"/>
  <c r="F47" i="24"/>
  <c r="C19" i="24"/>
  <c r="G59" i="24"/>
  <c r="C59" i="24"/>
  <c r="C58" i="24"/>
  <c r="F57" i="23"/>
  <c r="G56" i="23"/>
  <c r="E56" i="23"/>
  <c r="G57" i="23"/>
  <c r="C57" i="23"/>
  <c r="C56" i="23"/>
  <c r="C19" i="23"/>
  <c r="F56" i="21"/>
  <c r="G60" i="21" s="1"/>
  <c r="F57" i="20"/>
  <c r="G56" i="20"/>
  <c r="E56" i="20"/>
  <c r="F39" i="20"/>
  <c r="C19" i="20"/>
  <c r="G57" i="20"/>
  <c r="C57" i="20"/>
  <c r="C56" i="20"/>
  <c r="C12" i="20"/>
  <c r="F41" i="20"/>
  <c r="F42" i="20"/>
  <c r="F43" i="20"/>
  <c r="F40" i="20"/>
  <c r="F56" i="19"/>
  <c r="G60" i="19" s="1"/>
  <c r="G19" i="19" s="1"/>
  <c r="N17" i="17"/>
  <c r="M16" i="17"/>
  <c r="N15" i="17"/>
  <c r="M17" i="17"/>
  <c r="N16" i="17"/>
  <c r="M15" i="17"/>
  <c r="D43" i="17"/>
  <c r="E43" i="17"/>
  <c r="C43" i="17"/>
  <c r="F19" i="17"/>
  <c r="T40" i="4"/>
  <c r="T37" i="4"/>
  <c r="T35" i="4"/>
  <c r="L10" i="24" l="1"/>
  <c r="F55" i="24" s="1"/>
  <c r="L9" i="24"/>
  <c r="E56" i="17"/>
  <c r="C56" i="17"/>
  <c r="G57" i="17"/>
  <c r="G56" i="17"/>
  <c r="N3" i="17"/>
  <c r="M33" i="4" s="1"/>
  <c r="F56" i="23"/>
  <c r="G60" i="23" s="1"/>
  <c r="G19" i="21"/>
  <c r="D45" i="24"/>
  <c r="D46" i="24" s="1"/>
  <c r="C45" i="24"/>
  <c r="E45" i="24"/>
  <c r="G60" i="18"/>
  <c r="P15" i="17"/>
  <c r="P16" i="17" s="1"/>
  <c r="G19" i="22"/>
  <c r="F46" i="20"/>
  <c r="F57" i="17"/>
  <c r="C19" i="17"/>
  <c r="C57" i="17"/>
  <c r="T34" i="4"/>
  <c r="F49" i="24"/>
  <c r="T38" i="4"/>
  <c r="F56" i="20" l="1"/>
  <c r="G60" i="20" s="1"/>
  <c r="G19" i="20" s="1"/>
  <c r="G19" i="18"/>
  <c r="F58" i="24"/>
  <c r="G62" i="24" s="1"/>
  <c r="G19" i="24" s="1"/>
  <c r="P17" i="17"/>
  <c r="S17" i="17" s="1"/>
  <c r="D39" i="17" s="1"/>
  <c r="F46" i="17" s="1"/>
  <c r="F56" i="17" s="1"/>
  <c r="G60" i="17" s="1"/>
  <c r="G19" i="23"/>
  <c r="T33" i="4"/>
  <c r="T36" i="4"/>
  <c r="T48" i="4"/>
  <c r="G19" i="17" l="1"/>
  <c r="B37" i="15" l="1"/>
  <c r="N3" i="15"/>
  <c r="M32" i="4" s="1"/>
  <c r="F80" i="15"/>
  <c r="F78" i="15"/>
  <c r="C78" i="15"/>
  <c r="B34" i="15"/>
  <c r="B33" i="15"/>
  <c r="B32" i="15"/>
  <c r="C13" i="14"/>
  <c r="D13" i="14" s="1"/>
  <c r="G38" i="14"/>
  <c r="H38" i="14"/>
  <c r="G39" i="14"/>
  <c r="H39" i="14"/>
  <c r="G40" i="14"/>
  <c r="H40" i="14"/>
  <c r="G41" i="14"/>
  <c r="H41" i="14"/>
  <c r="G42" i="14"/>
  <c r="H42" i="14"/>
  <c r="H37" i="14"/>
  <c r="G37" i="14"/>
  <c r="D38" i="14"/>
  <c r="D39" i="14"/>
  <c r="D40" i="14"/>
  <c r="D41" i="14"/>
  <c r="D42" i="14"/>
  <c r="D37" i="14"/>
  <c r="C38" i="14"/>
  <c r="C39" i="14"/>
  <c r="C40" i="14"/>
  <c r="C41" i="14"/>
  <c r="C42" i="14"/>
  <c r="C37" i="14"/>
  <c r="G159" i="3"/>
  <c r="G160" i="3"/>
  <c r="G161" i="3"/>
  <c r="G162" i="3"/>
  <c r="G163" i="3"/>
  <c r="G164" i="3"/>
  <c r="G165" i="3"/>
  <c r="G166" i="3"/>
  <c r="G167" i="3"/>
  <c r="G168" i="3"/>
  <c r="G169" i="3"/>
  <c r="G170" i="3"/>
  <c r="G158" i="3"/>
  <c r="M8" i="14"/>
  <c r="M9" i="14"/>
  <c r="M10" i="14"/>
  <c r="M11" i="14"/>
  <c r="M12" i="14"/>
  <c r="M7" i="14"/>
  <c r="K8" i="14"/>
  <c r="L8" i="14"/>
  <c r="K9" i="14"/>
  <c r="L9" i="14"/>
  <c r="K10" i="14"/>
  <c r="L10" i="14"/>
  <c r="K11" i="14"/>
  <c r="L11" i="14"/>
  <c r="K12" i="14"/>
  <c r="L12" i="14"/>
  <c r="L7" i="14"/>
  <c r="K7" i="14"/>
  <c r="F62" i="14"/>
  <c r="C62" i="14"/>
  <c r="F61" i="14"/>
  <c r="C61" i="14"/>
  <c r="E31" i="14"/>
  <c r="B27" i="14"/>
  <c r="B22" i="14"/>
  <c r="C38" i="13"/>
  <c r="E39" i="13"/>
  <c r="F39" i="13"/>
  <c r="E40" i="13"/>
  <c r="F40" i="13"/>
  <c r="G38" i="13"/>
  <c r="G39" i="13"/>
  <c r="G40" i="13"/>
  <c r="E38" i="13"/>
  <c r="D38" i="13"/>
  <c r="D39" i="13"/>
  <c r="D40" i="13"/>
  <c r="C40" i="13"/>
  <c r="C39" i="13"/>
  <c r="N32" i="4"/>
  <c r="P53" i="4"/>
  <c r="P32" i="4"/>
  <c r="C28" i="15" l="1"/>
  <c r="C43" i="14"/>
  <c r="N12" i="14"/>
  <c r="N11" i="14"/>
  <c r="N10" i="14"/>
  <c r="N9" i="14"/>
  <c r="N8" i="14"/>
  <c r="N7" i="14"/>
  <c r="C19" i="14"/>
  <c r="C41" i="13"/>
  <c r="B27" i="13"/>
  <c r="M10" i="13"/>
  <c r="M11" i="13"/>
  <c r="M9" i="13"/>
  <c r="L10" i="13"/>
  <c r="L11" i="13"/>
  <c r="L9" i="13"/>
  <c r="K10" i="13"/>
  <c r="K11" i="13"/>
  <c r="K9" i="13"/>
  <c r="F10" i="13"/>
  <c r="F11" i="13"/>
  <c r="F9" i="13"/>
  <c r="F38" i="13" s="1"/>
  <c r="C12" i="13"/>
  <c r="F19" i="13" s="1"/>
  <c r="P50" i="4"/>
  <c r="N11" i="13" l="1"/>
  <c r="N9" i="13"/>
  <c r="N10" i="13"/>
  <c r="G56" i="13"/>
  <c r="F57" i="13"/>
  <c r="C57" i="13"/>
  <c r="E56" i="13"/>
  <c r="C56" i="13"/>
  <c r="G57" i="13"/>
  <c r="N3" i="13"/>
  <c r="M50" i="4" s="1"/>
  <c r="N13" i="14"/>
  <c r="F53" i="14" s="1"/>
  <c r="F56" i="14" s="1"/>
  <c r="G60" i="14" s="1"/>
  <c r="G19" i="14" s="1"/>
  <c r="E31" i="13"/>
  <c r="B24" i="13"/>
  <c r="B23" i="13"/>
  <c r="N33" i="4"/>
  <c r="N3" i="12" l="1"/>
  <c r="M49" i="4" s="1"/>
  <c r="G58" i="12"/>
  <c r="G57" i="12"/>
  <c r="F58" i="12"/>
  <c r="C58" i="12"/>
  <c r="E57" i="12"/>
  <c r="C57" i="12"/>
  <c r="N12" i="13"/>
  <c r="C19" i="13"/>
  <c r="E37" i="12"/>
  <c r="K12" i="12"/>
  <c r="K13" i="12"/>
  <c r="K8" i="12"/>
  <c r="L12" i="12"/>
  <c r="L13" i="12"/>
  <c r="K4" i="12"/>
  <c r="B28" i="12"/>
  <c r="F63" i="12"/>
  <c r="C63" i="12"/>
  <c r="F62" i="12"/>
  <c r="C62" i="12"/>
  <c r="B25" i="12"/>
  <c r="B24" i="12"/>
  <c r="B23" i="12"/>
  <c r="E42" i="9"/>
  <c r="D42" i="9"/>
  <c r="C42" i="9"/>
  <c r="E41" i="9"/>
  <c r="D41" i="9"/>
  <c r="C41" i="9"/>
  <c r="E40" i="9"/>
  <c r="D40" i="9"/>
  <c r="O33" i="4"/>
  <c r="N34" i="4"/>
  <c r="P49" i="4"/>
  <c r="P10" i="12" l="1"/>
  <c r="P11" i="12"/>
  <c r="P12" i="12"/>
  <c r="P13" i="12"/>
  <c r="H15" i="12"/>
  <c r="P9" i="12"/>
  <c r="F53" i="13"/>
  <c r="F56" i="13" s="1"/>
  <c r="G60" i="13" s="1"/>
  <c r="G19" i="13" s="1"/>
  <c r="E39" i="12"/>
  <c r="T50" i="4"/>
  <c r="O32" i="4"/>
  <c r="N35" i="4"/>
  <c r="R13" i="12" l="1"/>
  <c r="N13" i="12"/>
  <c r="R12" i="12"/>
  <c r="N12" i="12"/>
  <c r="R9" i="12"/>
  <c r="N9" i="12"/>
  <c r="R11" i="12"/>
  <c r="N11" i="12"/>
  <c r="R10" i="12"/>
  <c r="N10" i="12"/>
  <c r="F46" i="12"/>
  <c r="E46" i="12"/>
  <c r="D46" i="12"/>
  <c r="H46" i="12"/>
  <c r="G46" i="12"/>
  <c r="C46" i="12"/>
  <c r="D50" i="12"/>
  <c r="E50" i="12"/>
  <c r="F50" i="12"/>
  <c r="H50" i="12"/>
  <c r="G50" i="12"/>
  <c r="C50" i="12"/>
  <c r="C49" i="12"/>
  <c r="G49" i="12"/>
  <c r="H49" i="12"/>
  <c r="D49" i="12"/>
  <c r="E49" i="12"/>
  <c r="F49" i="12"/>
  <c r="D48" i="12"/>
  <c r="F48" i="12"/>
  <c r="C48" i="12"/>
  <c r="E48" i="12"/>
  <c r="G48" i="12"/>
  <c r="H48" i="12"/>
  <c r="G47" i="12"/>
  <c r="H47" i="12"/>
  <c r="E47" i="12"/>
  <c r="F47" i="12"/>
  <c r="C47" i="12"/>
  <c r="D47" i="12"/>
  <c r="H31" i="15"/>
  <c r="P14" i="12"/>
  <c r="E42" i="8"/>
  <c r="E43" i="8"/>
  <c r="E41" i="8"/>
  <c r="C43" i="8"/>
  <c r="C42" i="8"/>
  <c r="D42" i="8"/>
  <c r="D43" i="8"/>
  <c r="D41" i="8"/>
  <c r="C46" i="6"/>
  <c r="E37" i="8"/>
  <c r="B27" i="9"/>
  <c r="F56" i="9"/>
  <c r="C56" i="9"/>
  <c r="F55" i="9"/>
  <c r="C55" i="9"/>
  <c r="F53" i="9"/>
  <c r="C53" i="9"/>
  <c r="C49" i="9"/>
  <c r="D43" i="9"/>
  <c r="C40" i="9"/>
  <c r="E36" i="9"/>
  <c r="E35" i="9"/>
  <c r="B24" i="9"/>
  <c r="B23" i="9"/>
  <c r="B22" i="9"/>
  <c r="F19" i="9"/>
  <c r="F49" i="9"/>
  <c r="K13" i="9"/>
  <c r="D10" i="9"/>
  <c r="C41" i="8"/>
  <c r="E36" i="8"/>
  <c r="E35" i="8"/>
  <c r="F19" i="8"/>
  <c r="K13" i="8"/>
  <c r="K12" i="8"/>
  <c r="D10" i="8"/>
  <c r="F53" i="8"/>
  <c r="C53" i="8"/>
  <c r="B24" i="8"/>
  <c r="B23" i="8"/>
  <c r="B22" i="8"/>
  <c r="L9" i="9"/>
  <c r="N36" i="4"/>
  <c r="L7" i="9"/>
  <c r="M7" i="8"/>
  <c r="L8" i="8"/>
  <c r="M8" i="9"/>
  <c r="M9" i="9"/>
  <c r="M8" i="8"/>
  <c r="P44" i="4"/>
  <c r="L9" i="8"/>
  <c r="M9" i="8"/>
  <c r="L7" i="8"/>
  <c r="T53" i="4"/>
  <c r="L8" i="9"/>
  <c r="M7" i="9"/>
  <c r="P45" i="4"/>
  <c r="N14" i="12" l="1"/>
  <c r="N7" i="8"/>
  <c r="N7" i="9"/>
  <c r="N9" i="9"/>
  <c r="N8" i="9"/>
  <c r="N9" i="8"/>
  <c r="N8" i="8"/>
  <c r="G51" i="9"/>
  <c r="G50" i="9"/>
  <c r="F51" i="9"/>
  <c r="C51" i="9"/>
  <c r="E50" i="9"/>
  <c r="C50" i="9"/>
  <c r="G51" i="8"/>
  <c r="G50" i="8"/>
  <c r="C50" i="8"/>
  <c r="F51" i="8"/>
  <c r="C51" i="8"/>
  <c r="E50" i="8"/>
  <c r="F54" i="12"/>
  <c r="F57" i="12" s="1"/>
  <c r="N3" i="8"/>
  <c r="M44" i="4" s="1"/>
  <c r="N3" i="9"/>
  <c r="M45" i="4" s="1"/>
  <c r="C19" i="9"/>
  <c r="D44" i="8"/>
  <c r="C19" i="8"/>
  <c r="E46" i="6"/>
  <c r="C45" i="6"/>
  <c r="C44" i="6"/>
  <c r="D46" i="6"/>
  <c r="E45" i="6"/>
  <c r="E44" i="6"/>
  <c r="D45" i="6"/>
  <c r="D44" i="6"/>
  <c r="C41" i="6"/>
  <c r="F41" i="6"/>
  <c r="E41" i="6"/>
  <c r="C40" i="6"/>
  <c r="F40" i="6"/>
  <c r="E40" i="6"/>
  <c r="C38" i="6"/>
  <c r="F38" i="6"/>
  <c r="E38" i="6"/>
  <c r="F37" i="6"/>
  <c r="C37" i="6"/>
  <c r="E37" i="6"/>
  <c r="E50" i="6"/>
  <c r="N37" i="4"/>
  <c r="C15" i="12" l="1"/>
  <c r="D14" i="12"/>
  <c r="C14" i="12"/>
  <c r="G61" i="12"/>
  <c r="G20" i="12" s="1"/>
  <c r="N10" i="9"/>
  <c r="F47" i="9" s="1"/>
  <c r="N10" i="8"/>
  <c r="D47" i="6"/>
  <c r="B28" i="6"/>
  <c r="N9" i="6"/>
  <c r="N13" i="6"/>
  <c r="N12" i="6"/>
  <c r="N11" i="6"/>
  <c r="T49" i="4"/>
  <c r="N38" i="4"/>
  <c r="P43" i="4"/>
  <c r="D51" i="12" l="1"/>
  <c r="C51" i="12"/>
  <c r="F50" i="9"/>
  <c r="G54" i="9" s="1"/>
  <c r="F47" i="8"/>
  <c r="G58" i="6"/>
  <c r="G57" i="6"/>
  <c r="C58" i="6"/>
  <c r="C57" i="6"/>
  <c r="F58" i="6"/>
  <c r="E57" i="6"/>
  <c r="N3" i="6"/>
  <c r="L16" i="6"/>
  <c r="N14" i="6" s="1"/>
  <c r="D14" i="6"/>
  <c r="B27" i="7"/>
  <c r="B24" i="7"/>
  <c r="B23" i="7"/>
  <c r="B22" i="7"/>
  <c r="N39" i="4"/>
  <c r="T45" i="4"/>
  <c r="P41" i="4"/>
  <c r="M43" i="4" l="1"/>
  <c r="G19" i="9"/>
  <c r="F50" i="8"/>
  <c r="E36" i="6"/>
  <c r="AD70" i="3"/>
  <c r="AE70" i="3"/>
  <c r="AF70" i="3"/>
  <c r="AD71" i="3"/>
  <c r="AE71" i="3"/>
  <c r="AF71" i="3"/>
  <c r="AD72" i="3"/>
  <c r="AE72" i="3"/>
  <c r="AF72" i="3"/>
  <c r="AD73" i="3"/>
  <c r="AE73" i="3"/>
  <c r="AF73" i="3"/>
  <c r="AD74" i="3"/>
  <c r="AE74" i="3"/>
  <c r="AF74" i="3"/>
  <c r="AD75" i="3"/>
  <c r="AE75" i="3"/>
  <c r="AF75" i="3"/>
  <c r="AD76" i="3"/>
  <c r="AE76" i="3"/>
  <c r="AF76" i="3"/>
  <c r="AD77" i="3"/>
  <c r="AE77" i="3"/>
  <c r="AF77" i="3"/>
  <c r="AD78" i="3"/>
  <c r="AE78" i="3"/>
  <c r="AF78" i="3"/>
  <c r="AC71" i="3"/>
  <c r="AC72" i="3"/>
  <c r="AC73" i="3"/>
  <c r="AC74" i="3"/>
  <c r="AC75" i="3"/>
  <c r="AC76" i="3"/>
  <c r="AC77" i="3"/>
  <c r="AC78" i="3"/>
  <c r="AC70" i="3"/>
  <c r="Q70" i="3"/>
  <c r="Q71" i="3"/>
  <c r="Q72" i="3"/>
  <c r="Q73" i="3"/>
  <c r="Q74" i="3"/>
  <c r="Q75" i="3"/>
  <c r="Q76" i="3"/>
  <c r="Q77" i="3"/>
  <c r="Q78" i="3"/>
  <c r="O70" i="3"/>
  <c r="P70" i="3"/>
  <c r="O71" i="3"/>
  <c r="P71" i="3"/>
  <c r="O72" i="3"/>
  <c r="P72" i="3"/>
  <c r="O73" i="3"/>
  <c r="P73" i="3"/>
  <c r="O74" i="3"/>
  <c r="P74" i="3"/>
  <c r="O75" i="3"/>
  <c r="P75" i="3"/>
  <c r="O76" i="3"/>
  <c r="P76" i="3"/>
  <c r="O77" i="3"/>
  <c r="P77" i="3"/>
  <c r="O78" i="3"/>
  <c r="P78" i="3"/>
  <c r="N71" i="3"/>
  <c r="N72" i="3"/>
  <c r="N73" i="3"/>
  <c r="N74" i="3"/>
  <c r="N75" i="3"/>
  <c r="N76" i="3"/>
  <c r="N77" i="3"/>
  <c r="N78" i="3"/>
  <c r="N70" i="3"/>
  <c r="B25" i="6"/>
  <c r="B24" i="6"/>
  <c r="B23" i="6"/>
  <c r="N40" i="4"/>
  <c r="O34" i="4"/>
  <c r="G54" i="8" l="1"/>
  <c r="I21" i="18"/>
  <c r="C56" i="8"/>
  <c r="F56" i="8"/>
  <c r="C55" i="8"/>
  <c r="F55" i="8"/>
  <c r="F54" i="6"/>
  <c r="N41" i="4"/>
  <c r="T44" i="4"/>
  <c r="O35" i="4"/>
  <c r="G19" i="8" l="1"/>
  <c r="F57" i="6"/>
  <c r="G61" i="6" s="1"/>
  <c r="I21" i="19"/>
  <c r="C20" i="6"/>
  <c r="O36" i="4"/>
  <c r="N42" i="4"/>
  <c r="T43" i="4"/>
  <c r="G20" i="6" l="1"/>
  <c r="I21" i="20"/>
  <c r="O37" i="4"/>
  <c r="O42" i="4"/>
  <c r="N43" i="4"/>
  <c r="I21" i="21" l="1"/>
  <c r="B24" i="4"/>
  <c r="B23" i="4"/>
  <c r="N44" i="4"/>
  <c r="O43" i="4"/>
  <c r="N45" i="4"/>
  <c r="T41" i="4"/>
  <c r="O44" i="4"/>
  <c r="O45" i="4"/>
  <c r="O38" i="4"/>
  <c r="I21" i="23" l="1"/>
  <c r="B22" i="4"/>
  <c r="N46" i="4"/>
  <c r="O41" i="4"/>
  <c r="N47" i="4"/>
  <c r="O40" i="4"/>
  <c r="O39" i="4"/>
  <c r="I21" i="7" l="1"/>
  <c r="I21" i="22"/>
  <c r="O38" i="22"/>
  <c r="O49" i="4"/>
  <c r="O47" i="4"/>
  <c r="O46" i="4"/>
  <c r="N48" i="4"/>
  <c r="F74" i="15" l="1"/>
  <c r="G79" i="15" s="1"/>
  <c r="G28" i="15" s="1"/>
  <c r="O48" i="4"/>
  <c r="T32" i="4"/>
  <c r="N49" i="4"/>
  <c r="O52" i="4"/>
  <c r="I21" i="24" l="1"/>
  <c r="I22" i="12"/>
  <c r="T65" i="4"/>
  <c r="N50" i="4"/>
  <c r="N51" i="4" s="1"/>
  <c r="O53" i="4"/>
  <c r="N52" i="4"/>
  <c r="O51" i="4"/>
  <c r="O50" i="4"/>
  <c r="I54" i="41" l="1"/>
  <c r="I21" i="13"/>
  <c r="I51" i="25"/>
  <c r="N53" i="4"/>
  <c r="N54" i="4"/>
  <c r="O54" i="4"/>
  <c r="I21" i="14" l="1"/>
  <c r="I54" i="42"/>
  <c r="N55" i="4"/>
  <c r="O55" i="4"/>
  <c r="N56" i="4"/>
  <c r="N57" i="4"/>
  <c r="N58" i="4"/>
  <c r="I56" i="33" l="1"/>
  <c r="O58" i="4"/>
  <c r="O57" i="4"/>
  <c r="O56" i="4"/>
  <c r="N59" i="4"/>
  <c r="I61" i="48" l="1"/>
  <c r="I61" i="26"/>
  <c r="I61" i="47"/>
  <c r="N60" i="4"/>
  <c r="O59" i="4"/>
  <c r="I61" i="49" l="1"/>
  <c r="I27" i="52"/>
  <c r="I21" i="51"/>
  <c r="I22" i="6"/>
  <c r="I21" i="8"/>
  <c r="I21" i="9"/>
  <c r="N61" i="4"/>
  <c r="O60" i="4"/>
  <c r="O61" i="4"/>
  <c r="O62" i="4"/>
  <c r="I21" i="44" l="1"/>
  <c r="N62" i="4"/>
  <c r="O63" i="4"/>
  <c r="N63" i="4"/>
  <c r="B62" i="4" l="1"/>
  <c r="H62" i="4" s="1"/>
  <c r="B32" i="4"/>
  <c r="G32" i="4" s="1"/>
  <c r="B36" i="4"/>
  <c r="G36" i="4" s="1"/>
  <c r="B51" i="4"/>
  <c r="G51" i="4" s="1"/>
  <c r="C63" i="4"/>
  <c r="B55" i="4"/>
  <c r="C55" i="4" s="1"/>
  <c r="B34" i="4"/>
  <c r="G34" i="4" s="1"/>
  <c r="B42" i="4"/>
  <c r="H42" i="4" s="1"/>
  <c r="B37" i="4"/>
  <c r="C37" i="4" s="1"/>
  <c r="B46" i="4"/>
  <c r="G46" i="4" s="1"/>
  <c r="B52" i="4"/>
  <c r="C52" i="4" s="1"/>
  <c r="B38" i="4"/>
  <c r="G38" i="4" s="1"/>
  <c r="B49" i="4"/>
  <c r="G49" i="4" s="1"/>
  <c r="B59" i="4"/>
  <c r="H59" i="4" s="1"/>
  <c r="B57" i="4"/>
  <c r="G57" i="4" s="1"/>
  <c r="B58" i="4"/>
  <c r="H58" i="4" s="1"/>
  <c r="B43" i="4"/>
  <c r="G43" i="4" s="1"/>
  <c r="B47" i="4"/>
  <c r="C47" i="4" s="1"/>
  <c r="B53" i="4"/>
  <c r="G53" i="4" s="1"/>
  <c r="C64" i="4"/>
  <c r="B33" i="4"/>
  <c r="G33" i="4" s="1"/>
  <c r="B60" i="4"/>
  <c r="C60" i="4" s="1"/>
  <c r="N65" i="4"/>
  <c r="I61" i="50" s="1"/>
  <c r="C68" i="4"/>
  <c r="B39" i="4"/>
  <c r="G39" i="4" s="1"/>
  <c r="G68" i="4"/>
  <c r="B56" i="4"/>
  <c r="H56" i="4" s="1"/>
  <c r="B40" i="4"/>
  <c r="C40" i="4" s="1"/>
  <c r="B35" i="4"/>
  <c r="H35" i="4" s="1"/>
  <c r="B48" i="4"/>
  <c r="H48" i="4" s="1"/>
  <c r="B50" i="4"/>
  <c r="H50" i="4" s="1"/>
  <c r="B44" i="4"/>
  <c r="G44" i="4" s="1"/>
  <c r="G64" i="4"/>
  <c r="B61" i="4"/>
  <c r="C61" i="4" s="1"/>
  <c r="B41" i="4"/>
  <c r="G41" i="4" s="1"/>
  <c r="B45" i="4"/>
  <c r="G45" i="4" s="1"/>
  <c r="B54" i="4"/>
  <c r="G54" i="4" s="1"/>
  <c r="I21" i="45"/>
  <c r="I30" i="34"/>
  <c r="I54" i="40"/>
  <c r="I21" i="53"/>
  <c r="K36" i="17"/>
  <c r="I21" i="17"/>
  <c r="G37" i="4"/>
  <c r="H37" i="4"/>
  <c r="C49" i="4"/>
  <c r="H49" i="4"/>
  <c r="H33" i="4"/>
  <c r="C53" i="4"/>
  <c r="C62" i="4"/>
  <c r="H36" i="4"/>
  <c r="G62" i="4"/>
  <c r="C33" i="4"/>
  <c r="G58" i="4"/>
  <c r="C58" i="4"/>
  <c r="C36" i="4"/>
  <c r="H53" i="4"/>
  <c r="G56" i="4"/>
  <c r="C32" i="4"/>
  <c r="C56" i="4"/>
  <c r="C54" i="4"/>
  <c r="C46" i="4"/>
  <c r="C42" i="4"/>
  <c r="C39" i="4"/>
  <c r="G60" i="4"/>
  <c r="H39" i="4"/>
  <c r="H46" i="4"/>
  <c r="H51" i="4"/>
  <c r="G40" i="4"/>
  <c r="C44" i="4"/>
  <c r="H44" i="4"/>
  <c r="H54" i="4"/>
  <c r="H32" i="4"/>
  <c r="H60" i="4"/>
  <c r="G61" i="4"/>
  <c r="C51" i="4"/>
  <c r="H40" i="4"/>
  <c r="H61" i="4"/>
  <c r="G42" i="4"/>
  <c r="G59" i="4" l="1"/>
  <c r="H34" i="4"/>
  <c r="C59" i="4"/>
  <c r="H57" i="4"/>
  <c r="C34" i="4"/>
  <c r="C57" i="4"/>
  <c r="C50" i="4"/>
  <c r="G50" i="4"/>
  <c r="H55" i="4"/>
  <c r="C38" i="4"/>
  <c r="G47" i="4"/>
  <c r="C48" i="4"/>
  <c r="G48" i="4"/>
  <c r="G55" i="4"/>
  <c r="H47" i="4"/>
  <c r="C45" i="4"/>
  <c r="H45" i="4"/>
  <c r="H38" i="4"/>
  <c r="H52" i="4"/>
  <c r="C43" i="4"/>
  <c r="G35" i="4"/>
  <c r="G52" i="4"/>
  <c r="C41" i="4"/>
  <c r="H43" i="4"/>
  <c r="C35" i="4"/>
  <c r="H41" i="4"/>
  <c r="H65" i="4" l="1"/>
  <c r="H66" i="4" s="1"/>
  <c r="G69" i="4" s="1"/>
  <c r="H70" i="4" s="1"/>
  <c r="G72" i="4" s="1"/>
  <c r="G65" i="4"/>
  <c r="G66" i="4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Helm Florian</author>
  </authors>
  <commentList>
    <comment ref="N5" authorId="0" shapeId="0" xr:uid="{00000000-0006-0000-0100-000001000000}">
      <text>
        <r>
          <rPr>
            <sz val="9"/>
            <color indexed="81"/>
            <rFont val="Tahoma"/>
            <family val="2"/>
          </rPr>
          <t xml:space="preserve">Spaltennummer links der Leistung aus untenstehender Tabelle
</t>
        </r>
      </text>
    </comment>
    <comment ref="C19" authorId="0" shapeId="0" xr:uid="{00000000-0006-0000-0100-000002000000}">
      <text>
        <r>
          <rPr>
            <b/>
            <sz val="9"/>
            <color indexed="81"/>
            <rFont val="Tahoma"/>
            <family val="2"/>
          </rPr>
          <t>fortlaufende Nummer:</t>
        </r>
        <r>
          <rPr>
            <sz val="9"/>
            <color indexed="81"/>
            <rFont val="Tahoma"/>
            <family val="2"/>
          </rPr>
          <t xml:space="preserve">
wird automatisch gemäß Zellen N32:N56+ vergeben
</t>
        </r>
        <r>
          <rPr>
            <b/>
            <sz val="9"/>
            <color indexed="81"/>
            <rFont val="Tahoma"/>
            <family val="2"/>
          </rPr>
          <t>LB_VG-Position:</t>
        </r>
        <r>
          <rPr>
            <sz val="9"/>
            <color indexed="81"/>
            <rFont val="Tahoma"/>
            <family val="2"/>
          </rPr>
          <t xml:space="preserve">
wird automatisch gemäß Zellen O32:O56+ vergeben
</t>
        </r>
        <r>
          <rPr>
            <b/>
            <sz val="9"/>
            <color indexed="81"/>
            <rFont val="Tahoma"/>
            <family val="2"/>
          </rPr>
          <t>individuelle Nummer:</t>
        </r>
        <r>
          <rPr>
            <sz val="9"/>
            <color indexed="81"/>
            <rFont val="Tahoma"/>
            <family val="2"/>
          </rPr>
          <t xml:space="preserve">
Individuelle Nummer in rote Zellen (Bereich L32:L56+) vergeben
Dieselbe individuelle Nummer im Bereich B32:L62 vergeben
</t>
        </r>
        <r>
          <rPr>
            <sz val="8"/>
            <color indexed="10"/>
            <rFont val="Tahoma"/>
            <family val="2"/>
          </rPr>
          <t>Achtung: 
Wenn eine individuelle Nummer in der Spalte B vergeben wird, kann nicht mehr auf fortlaufende Num. oder LB_VG-Position zurückgeblendet werden, da mit der fortlaufenden Nummer die entsprechende Formel überschrieben wurde &gt; Abhilfe eventuell durch Zurück-Kopieren der Formel aus einer Zeile ober- oder unterhalb!
Die Vergabe einer individuellen Nummer macht nur Sinn, wenn nur die kalkulierten Positionen angezeigt werden (&gt; Anzeige aller Positionen (Zelle EF19) wird außer Kraft gesetzt!)</t>
        </r>
      </text>
    </comment>
    <comment ref="B30" authorId="0" shapeId="0" xr:uid="{00000000-0006-0000-0100-000003000000}">
      <text>
        <r>
          <rPr>
            <sz val="9"/>
            <color indexed="81"/>
            <rFont val="Tahoma"/>
            <family val="2"/>
          </rPr>
          <t>abhängig von C19: 
Pos. -  LNr.  individ.Nr.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Helm Florian</author>
  </authors>
  <commentList>
    <comment ref="G7" authorId="0" shapeId="0" xr:uid="{00000000-0006-0000-0200-000001000000}">
      <text>
        <r>
          <rPr>
            <sz val="9"/>
            <color indexed="81"/>
            <rFont val="Tahoma"/>
            <family val="2"/>
          </rPr>
          <t xml:space="preserve">H = Grenzen hoher Qualität (G- und V-Grenzpunkte)
M = Grenzen mittlerer Qualität (T-, E-, sowie G- und V-Grenzpunkte)
N = Grenzen niedriger Qualität (vorwiegend Grenzpunkte ohne Code, graphische Katasterpunkte)
</t>
        </r>
      </text>
    </comment>
    <comment ref="G8" authorId="0" shapeId="0" xr:uid="{00000000-0006-0000-0200-000002000000}">
      <text>
        <r>
          <rPr>
            <sz val="9"/>
            <color indexed="81"/>
            <rFont val="Tahoma"/>
            <family val="2"/>
          </rPr>
          <t xml:space="preserve">I = eben  Durchschnittliche Neigung der Geländeformen bis zu 10 %
II = hügelig  Durchschnittliche Neigung der Geländeformen über 10 % bis 30 %
III = bergig  Durchschnittliche Neigung der Geländeformen über 30 % bis 50 %
a = offen  Freie Messmöglichkeit nach allen Richtungen; keine die Sicht oder Fortbewegung hindernde Details; kein hindernder Bodenbewuchs; freie Zugänglichkeit des Arbeitsbereiches 
b = behindert, mäßig detailreich Gelände mit mäßigem Detailreichtum, einzelnen Objekten oder auch nur teilweise behinderndem Bodenbewuchs, sodass der Arbeitsfortschritt durch die teilweise Behinderung der Sicht oder der Fortbewegung gehemmt ist (auch Baustellentätigkeiten)
c = verbaut oder dicht bewachsen, sehr detailreich, stark detailliertes Gelände oder starke Behinderung durch Bodenbewuchs oder Verbauung, wodurch eine wesentliche Erschwernis der Vermessungsarbeiten bzw. Hemmung des Arbeitsfortschrittes entsteht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Helm Florian</author>
  </authors>
  <commentList>
    <comment ref="H14" authorId="0" shapeId="0" xr:uid="{00000000-0006-0000-0400-000001000000}">
      <text>
        <r>
          <rPr>
            <sz val="9"/>
            <color indexed="81"/>
            <rFont val="Tahoma"/>
            <family val="2"/>
          </rPr>
          <t xml:space="preserve">I = eben  Durchschnittliche Neigung der Geländeformen bis zu 10 %
II = hügelig  Durchschnittliche Neigung der Geländeformen über 10 % bis 30 %
III = bergig  Durchschnittliche Neigung der Geländeformen über 30 % bis 50 %
a = offen  Freie Messmöglichkeit nach allen Richtungen; keine die Sicht oder Fortbewegung hindernde Details; kein hindernder Bodenbewuchs; freie Zugänglichkeit des Arbeitsbereiches 
b = behindert, mäßig detailreich Gelände mit mäßigem Detailreichtum, einzelnen Objekten oder auch nur teilweise behinderndem Bodenbewuchs, sodass der Arbeitsfortschritt durch die teilweise Behinderung der Sicht oder der Fortbewegung gehemmt ist (auch Baustellentätigkeiten)
c = verbaut oder dicht bewachsen, sehr detailreich, stark detailliertes Gelände oder starke Behinderung durch Bodenbewuchs oder Verbauung, wodurch eine wesentliche Erschwernis der Vermessungsarbeiten bzw. Hemmung des Arbeitsfortschrittes entsteht
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Helm Florian</author>
  </authors>
  <commentList>
    <comment ref="H9" authorId="0" shapeId="0" xr:uid="{00000000-0006-0000-0500-000001000000}">
      <text>
        <r>
          <rPr>
            <sz val="9"/>
            <color indexed="81"/>
            <rFont val="Tahoma"/>
            <family val="2"/>
          </rPr>
          <t xml:space="preserve">I = eben  Durchschnittliche Neigung der Geländeformen bis zu 10 %
II = hügelig  Durchschnittliche Neigung der Geländeformen über 10 % bis 30 %
III = bergig  Durchschnittliche Neigung der Geländeformen über 30 % bis 50 %
a = offen  Freie Messmöglichkeit nach allen Richtungen; keine die Sicht oder Fortbewegung hindernde Details; kein hindernder Bodenbewuchs; freie Zugänglichkeit des Arbeitsbereiches 
b = behindert, mäßig detailreich Gelände mit mäßigem Detailreichtum, einzelnen Objekten oder auch nur teilweise behinderndem Bodenbewuchs, sodass der Arbeitsfortschritt durch die teilweise Behinderung der Sicht oder der Fortbewegung gehemmt ist (auch Baustellentätigkeiten)
c = verbaut oder dicht bewachsen, sehr detailreich, stark detailliertes Gelände oder starke Behinderung durch Bodenbewuchs oder Verbauung, wodurch eine wesentliche Erschwernis der Vermessungsarbeiten bzw. Hemmung des Arbeitsfortschrittes entsteht
</t>
        </r>
      </text>
    </comment>
    <comment ref="H11" authorId="0" shapeId="0" xr:uid="{00000000-0006-0000-0500-000002000000}">
      <text>
        <r>
          <rPr>
            <sz val="9"/>
            <color indexed="81"/>
            <rFont val="Tahoma"/>
            <family val="2"/>
          </rPr>
          <t>Genauigkeitsfaktor
G = 1,00 
Standardabweichung-Lage = (10 mm + 20 mm/km)
Standardabweichung-Höhe = (18 mm + 20 mm/km)
Auf- und Abschläge für höhere bzw. geringere Genauigkeitsanforderungen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Helm Florian</author>
  </authors>
  <commentList>
    <comment ref="F6" authorId="0" shapeId="0" xr:uid="{00000000-0006-0000-0600-000001000000}">
      <text>
        <r>
          <rPr>
            <sz val="9"/>
            <color indexed="81"/>
            <rFont val="Tahoma"/>
            <family val="2"/>
          </rPr>
          <t xml:space="preserve">Genauigkeitsfaktor = 1,00  für  Standardabweichung-Azimut = 1,5 mgon
Auf- u. Abschläge für höhere bzw. geringere Genauigkeitsanforderungen
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Helm Florian</author>
  </authors>
  <commentList>
    <comment ref="E10" authorId="0" shapeId="0" xr:uid="{00000000-0006-0000-0700-000001000000}">
      <text>
        <r>
          <rPr>
            <sz val="9"/>
            <color indexed="81"/>
            <rFont val="Tahoma"/>
            <family val="2"/>
          </rPr>
          <t xml:space="preserve">I = eben  Durchschnittliche Neigung der Geländeformen bis zu 10 %
II = hügelig  Durchschnittliche Neigung der Geländeformen über 10 % bis 30 %
III = bergig  Durchschnittliche Neigung der Geländeformen über 30 % bis 50 %
a = offen  Freie Messmöglichkeit nach allen Richtungen; keine die Sicht oder Fortbewegung hindernde Details; kein hindernder Bodenbewuchs; freie Zugänglichkeit des Arbeitsbereiches 
b = behindert, mäßig detailreich Gelände mit mäßigem Detailreichtum, einzelnen Objekten oder auch nur teilweise behinderndem Bodenbewuchs, sodass der Arbeitsfortschritt durch die teilweise Behinderung der Sicht oder der Fortbewegung gehemmt ist (auch Baustellentätigkeiten)
c = verbaut oder dicht bewachsen, sehr detailreich, stark detailliertes Gelände oder starke Behinderung durch Bodenbewuchs oder Verbauung, wodurch eine wesentliche Erschwernis der Vermessungsarbeiten bzw. Hemmung des Arbeitsfortschrittes entsteht
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Helm Florian</author>
  </authors>
  <commentList>
    <comment ref="E12" authorId="0" shapeId="0" xr:uid="{00000000-0006-0000-0A00-000001000000}">
      <text>
        <r>
          <rPr>
            <sz val="9"/>
            <color indexed="81"/>
            <rFont val="Tahoma"/>
            <family val="2"/>
          </rPr>
          <t xml:space="preserve">I = eben  Durchschnittliche Neigung der Geländeformen bis zu 10 %
II = hügelig  Durchschnittliche Neigung der Geländeformen über 10 % bis 30 %
III = bergig  Durchschnittliche Neigung der Geländeformen über 30 % bis 50 %
a = offen  Freie Messmöglichkeit nach allen Richtungen; keine die Sicht oder Fortbewegung hindernde Details; kein hindernder Bodenbewuchs; freie Zugänglichkeit des Arbeitsbereiches 
b = behindert, mäßig detailreich Gelände mit mäßigem Detailreichtum, einzelnen Objekten oder auch nur teilweise behinderndem Bodenbewuchs, sodass der Arbeitsfortschritt durch die teilweise Behinderung der Sicht oder der Fortbewegung gehemmt ist (auch Baustellentätigkeiten)
c = verbaut oder dicht bewachsen, sehr detailreich, stark detailliertes Gelände oder starke Behinderung durch Bodenbewuchs oder Verbauung, wodurch eine wesentliche Erschwernis der Vermessungsarbeiten bzw. Hemmung des Arbeitsfortschrittes entsteht
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Helm Florian</author>
  </authors>
  <commentList>
    <comment ref="E8" authorId="0" shapeId="0" xr:uid="{00000000-0006-0000-0B00-000001000000}">
      <text>
        <r>
          <rPr>
            <sz val="9"/>
            <color indexed="81"/>
            <rFont val="Tahoma"/>
            <family val="2"/>
          </rPr>
          <t>I = eben  Durchschnittliche Neigung der Geländeformen bis zu 10 %
II = hügelig  Durchschnittliche Neigung der Geländeformen über 10 % bis 30 %
III = bergig  Durchschnittliche Neigung der Geländeformen über 30 % bis 50 %
a = offen  Freie Messmöglichkeit nach allen Richtungen; keine die Sicht oder Fortbewegung hindernde Details; kein hindernder Bodenbewuchs; freie Zugänglichkeit des Arbeitsbereiches 
b = behindert, mäßig detailreich Gelände mit mäßigem Detailreichtum, einzelnen Objekten oder auch nur teilweise behinderndem Bodenbewuchs, sodass der Arbeitsfortschritt durch die teilweise Behinderung der Sicht oder der Fortbewegung gehemmt ist (auch Baustellentätigkeiten)
c = verbaut oder dicht bewachsen, sehr detailreich, stark detailliertes Gelände oder starke Behinderung durch Bodenbewuchs oder Verbauung, wodurch eine wesentliche Erschwernis der Vermessungsarbeiten bzw. Hemmung des Arbeitsfortschrittes entsteht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13" authorId="0" shapeId="0" xr:uid="{021BE037-9C8C-434C-A637-E1908ACB15FC}">
      <text>
        <r>
          <rPr>
            <sz val="9"/>
            <color indexed="81"/>
            <rFont val="Segoe UI"/>
            <family val="2"/>
          </rPr>
          <t>Ergänzung außerhalb der RVS aus Vereinbarung der BAIK mit ÖBB und HL-AG, 1995</t>
        </r>
      </text>
    </comment>
    <comment ref="C14" authorId="0" shapeId="0" xr:uid="{BB6F2829-B4FB-455F-A27D-3F5AB6504F79}">
      <text>
        <r>
          <rPr>
            <sz val="9"/>
            <color indexed="81"/>
            <rFont val="Segoe UI"/>
            <family val="2"/>
          </rPr>
          <t>Ergänzung außerhalb der RVS aus Vereinbarung der BAIK mit ÖBB und HL-AG, 1995</t>
        </r>
      </text>
    </comment>
    <comment ref="C15" authorId="0" shapeId="0" xr:uid="{99B2C343-BE05-4B0E-8FED-8473BE7C06D8}">
      <text>
        <r>
          <rPr>
            <sz val="9"/>
            <color indexed="81"/>
            <rFont val="Segoe UI"/>
            <family val="2"/>
          </rPr>
          <t>Ergänzung außerhalb der RVS aus Vereinbarung der BAIK mit ÖBB und HL-AG, 1995</t>
        </r>
      </text>
    </comment>
    <comment ref="C53" authorId="0" shapeId="0" xr:uid="{08F05A39-1D76-4F64-B632-0B25403B2490}">
      <text>
        <r>
          <rPr>
            <sz val="9"/>
            <color indexed="81"/>
            <rFont val="Segoe UI"/>
            <family val="2"/>
          </rPr>
          <t>Ergänzung außerhalb der RVS aus Vereinbarung der BAIK mit ÖBB und HL-AG, 1995</t>
        </r>
      </text>
    </comment>
    <comment ref="C56" authorId="0" shapeId="0" xr:uid="{D24371C8-01D7-4B1D-82D0-8B2C39824BB4}">
      <text>
        <r>
          <rPr>
            <sz val="9"/>
            <color indexed="81"/>
            <rFont val="Segoe UI"/>
            <family val="2"/>
          </rPr>
          <t>Ergänzung außerhalb der RVS aus Vereinbarung der BAIK mit ÖBB und HL-AG, 1995</t>
        </r>
      </text>
    </comment>
    <comment ref="C59" authorId="0" shapeId="0" xr:uid="{B6322060-977A-4219-968F-537EE0295E7E}">
      <text>
        <r>
          <rPr>
            <sz val="9"/>
            <color indexed="81"/>
            <rFont val="Segoe UI"/>
            <family val="2"/>
          </rPr>
          <t>Ergänzung außerhalb der RVS aus Vereinbarung der BAIK mit ÖBB und HL-AG, 1995</t>
        </r>
      </text>
    </comment>
  </commentList>
</comments>
</file>

<file path=xl/comments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Helm Florian</author>
  </authors>
  <commentList>
    <comment ref="E12" authorId="0" shapeId="0" xr:uid="{23AE4E6C-1BF9-43F4-926F-5A4FC3FDE7D4}">
      <text>
        <r>
          <rPr>
            <sz val="9"/>
            <color indexed="81"/>
            <rFont val="Tahoma"/>
            <family val="2"/>
          </rPr>
          <t xml:space="preserve">I = eben  Durchschnittliche Neigung der Geländeformen bis zu 10 %
II = hügelig  Durchschnittliche Neigung der Geländeformen über 10 % bis 30 %
III = bergig  Durchschnittliche Neigung der Geländeformen über 30 % bis 50 %
a = offen  Freie Messmöglichkeit nach allen Richtungen; keine die Sicht oder Fortbewegung hindernde Details; kein hindernder Bodenbewuchs; freie Zugänglichkeit des Arbeitsbereiches 
b = behindert, mäßig detailreich Gelände mit mäßigem Detailreichtum, einzelnen Objekten oder auch nur teilweise behinderndem Bodenbewuchs, sodass der Arbeitsfortschritt durch die teilweise Behinderung der Sicht oder der Fortbewegung gehemmt ist (auch Baustellentätigkeiten)
c = verbaut oder dicht bewachsen, sehr detailreich, stark detailliertes Gelände oder starke Behinderung durch Bodenbewuchs oder Verbauung, wodurch eine wesentliche Erschwernis der Vermessungsarbeiten bzw. Hemmung des Arbeitsfortschrittes entsteht
</t>
        </r>
      </text>
    </comment>
  </commentList>
</comments>
</file>

<file path=xl/comments1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Helm Florian</author>
  </authors>
  <commentList>
    <comment ref="G11" authorId="0" shapeId="0" xr:uid="{00000000-0006-0000-0C00-000001000000}">
      <text>
        <r>
          <rPr>
            <sz val="9"/>
            <color indexed="81"/>
            <rFont val="Tahoma"/>
            <family val="2"/>
          </rPr>
          <t xml:space="preserve">I = eben  Durchschnittliche Neigung der Geländeformen bis zu 10 %
II = hügelig  Durchschnittliche Neigung der Geländeformen über 10 % bis 30 %
III = bergig  Durchschnittliche Neigung der Geländeformen über 30 % bis 50 %
a = offen  Freie Messmöglichkeit nach allen Richtungen; keine die Sicht oder Fortbewegung hindernde Details; kein hindernder Bodenbewuchs; freie Zugänglichkeit des Arbeitsbereiches 
b = behindert, mäßig detailreich Gelände mit mäßigem Detailreichtum, einzelnen Objekten oder auch nur teilweise behinderndem Bodenbewuchs, sodass der Arbeitsfortschritt durch die teilweise Behinderung der Sicht oder der Fortbewegung gehemmt ist (auch Baustellentätigkeiten)
c = verbaut oder dicht bewachsen, sehr detailreich, stark detailliertes Gelände oder starke Behinderung durch Bodenbewuchs oder Verbauung, wodurch eine wesentliche Erschwernis der Vermessungsarbeiten bzw. Hemmung des Arbeitsfortschrittes entsteht
</t>
        </r>
      </text>
    </comment>
  </commentList>
</comments>
</file>

<file path=xl/comments1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Helm Florian</author>
  </authors>
  <commentList>
    <comment ref="G7" authorId="0" shapeId="0" xr:uid="{00000000-0006-0000-0D00-000001000000}">
      <text>
        <r>
          <rPr>
            <sz val="9"/>
            <color indexed="81"/>
            <rFont val="Tahoma"/>
            <family val="2"/>
          </rPr>
          <t xml:space="preserve">I = eben  Durchschnittliche Neigung der Geländeformen bis zu 10 %
II = hügelig  Durchschnittliche Neigung der Geländeformen über 10 % bis 30 %
III = bergig  Durchschnittliche Neigung der Geländeformen über 30 % bis 50 %
a = offen  Freie Messmöglichkeit nach allen Richtungen; keine die Sicht oder Fortbewegung hindernde Details; kein hindernder Bodenbewuchs; freie Zugänglichkeit des Arbeitsbereiches 
b = behindert, mäßig detailreich Gelände mit mäßigem Detailreichtum, einzelnen Objekten oder auch nur teilweise behinderndem Bodenbewuchs, sodass der Arbeitsfortschritt durch die teilweise Behinderung der Sicht oder der Fortbewegung gehemmt ist (auch Baustellentätigkeiten)
c = verbaut oder dicht bewachsen, sehr detailreich, stark detailliertes Gelände oder starke Behinderung durch Bodenbewuchs oder Verbauung, wodurch eine wesentliche Erschwernis der Vermessungsarbeiten bzw. Hemmung des Arbeitsfortschrittes entsteht
</t>
        </r>
      </text>
    </comment>
  </commentList>
</comments>
</file>

<file path=xl/comments1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Helm Florian</author>
  </authors>
  <commentList>
    <comment ref="G7" authorId="0" shapeId="0" xr:uid="{00000000-0006-0000-0E00-000001000000}">
      <text>
        <r>
          <rPr>
            <sz val="9"/>
            <color indexed="81"/>
            <rFont val="Tahoma"/>
            <family val="2"/>
          </rPr>
          <t xml:space="preserve">I = eben  Durchschnittliche Neigung der Geländeformen bis zu 10 %
II = hügelig  Durchschnittliche Neigung der Geländeformen über 10 % bis 30 %
III = bergig  Durchschnittliche Neigung der Geländeformen über 30 % bis 50 %
a = offen  Freie Messmöglichkeit nach allen Richtungen; keine die Sicht oder Fortbewegung hindernde Details; kein hindernder Bodenbewuchs; freie Zugänglichkeit des Arbeitsbereiches 
b = behindert, mäßig detailreich Gelände mit mäßigem Detailreichtum, einzelnen Objekten oder auch nur teilweise behinderndem Bodenbewuchs, sodass der Arbeitsfortschritt durch die teilweise Behinderung der Sicht oder der Fortbewegung gehemmt ist (auch Baustellentätigkeiten)
c = verbaut oder dicht bewachsen, sehr detailreich, stark detailliertes Gelände oder starke Behinderung durch Bodenbewuchs oder Verbauung, wodurch eine wesentliche Erschwernis der Vermessungsarbeiten bzw. Hemmung des Arbeitsfortschrittes entsteht
</t>
        </r>
      </text>
    </comment>
  </commentList>
</comments>
</file>

<file path=xl/comments1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Helm Florian</author>
  </authors>
  <commentList>
    <comment ref="H9" authorId="0" shapeId="0" xr:uid="{00000000-0006-0000-1100-000001000000}">
      <text>
        <r>
          <rPr>
            <sz val="9"/>
            <color indexed="81"/>
            <rFont val="Tahoma"/>
            <family val="2"/>
          </rPr>
          <t xml:space="preserve">I = eben  Durchschnittliche Neigung der Geländeformen bis zu 10 %
II = hügelig  Durchschnittliche Neigung der Geländeformen über 10 % bis 30 %
III = bergig  Durchschnittliche Neigung der Geländeformen über 30 % bis 50 %
a = offen  Freie Messmöglichkeit nach allen Richtungen; keine die Sicht oder Fortbewegung hindernde Details; kein hindernder Bodenbewuchs; freie Zugänglichkeit des Arbeitsbereiches 
b = behindert, mäßig detailreich Gelände mit mäßigem Detailreichtum, einzelnen Objekten oder auch nur teilweise behinderndem Bodenbewuchs, sodass der Arbeitsfortschritt durch die teilweise Behinderung der Sicht oder der Fortbewegung gehemmt ist (auch Baustellentätigkeiten)
c = verbaut oder dicht bewachsen, sehr detailreich, stark detailliertes Gelände oder starke Behinderung durch Bodenbewuchs oder Verbauung, wodurch eine wesentliche Erschwernis der Vermessungsarbeiten bzw. Hemmung des Arbeitsfortschrittes entsteht
</t>
        </r>
      </text>
    </comment>
  </commentList>
</comments>
</file>

<file path=xl/comments1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Helm Florian</author>
  </authors>
  <commentList>
    <comment ref="F8" authorId="0" shapeId="0" xr:uid="{00000000-0006-0000-1200-000001000000}">
      <text>
        <r>
          <rPr>
            <sz val="9"/>
            <color indexed="81"/>
            <rFont val="Tahoma"/>
            <family val="2"/>
          </rPr>
          <t>I = eben  Durchschnittliche Neigung der Geländeformen bis zu 10 %
II = hügelig  Durchschnittliche Neigung der Geländeformen über 10 % bis 30 %
III = bergig  Durchschnittliche Neigung der Geländeformen über 30 % bis 50 %
a = offen  Freie Messmöglichkeit nach allen Richtungen; keine die Sicht oder Fortbewegung hindernde Details; kein hindernder Bodenbewuchs; freie Zugänglichkeit des Arbeitsbereiches 
b = behindert, mäßig detailreich Gelände mit mäßigem Detailreichtum, einzelnen Objekten oder auch nur teilweise behinderndem Bodenbewuchs, sodass der Arbeitsfortschritt durch die teilweise Behinderung der Sicht oder der Fortbewegung gehemmt ist (auch Baustellentätigkeiten)
c = verbaut oder dicht bewachsen, sehr detailreich, stark detailliertes Gelände oder starke Behinderung durch Bodenbewuchs oder Verbauung, wodurch eine wesentliche Erschwernis der Vermessungsarbeiten bzw. Hemmung des Arbeitsfortschrittes entsteht</t>
        </r>
      </text>
    </comment>
  </commentList>
</comments>
</file>

<file path=xl/comments1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Helm Florian</author>
  </authors>
  <commentList>
    <comment ref="D7" authorId="0" shapeId="0" xr:uid="{00000000-0006-0000-1600-000001000000}">
      <text>
        <r>
          <rPr>
            <sz val="9"/>
            <color indexed="81"/>
            <rFont val="Tahoma"/>
            <family val="2"/>
          </rPr>
          <t xml:space="preserve">Die Tabelle enthält die häufigsten Arten der Stabilisierung, Signalisierung und Sicherung. 
Aufwendige Arten, wie Holz- oder Metallsignale, Betonpfeiler oder betonierte Bodenpunkte mit eingelassenen, besonders genauen und korrosionssicheren Punktmarkierungen sowie photogrammetrische Signale (z.B. Signaltafeln mit Befestigungspflöcken oder Farbmarkierungen mit Kontrastflächen) u.dgl. sind nach Zeit- und Sachaufwand zu verrechnen.
</t>
        </r>
      </text>
    </comment>
    <comment ref="G7" authorId="0" shapeId="0" xr:uid="{00000000-0006-0000-1600-000002000000}">
      <text>
        <r>
          <rPr>
            <sz val="9"/>
            <color indexed="81"/>
            <rFont val="Tahoma"/>
            <family val="2"/>
          </rPr>
          <t xml:space="preserve">A : mit Kfz erreichbar
B : mit Kfz nur über Umwege oder mit Geländefahrzeug erreichbar
C : nur mit langen Fußmärschen erreichbar
</t>
        </r>
      </text>
    </comment>
    <comment ref="H7" authorId="0" shapeId="0" xr:uid="{00000000-0006-0000-1600-000003000000}">
      <text>
        <r>
          <rPr>
            <sz val="9"/>
            <color indexed="81"/>
            <rFont val="Tahoma"/>
            <family val="2"/>
          </rPr>
          <t>I = eben  Durchschnittliche Neigung der Geländeformen bis zu 10 %
II = hügelig  Durchschnittliche Neigung der Geländeformen über 10 % bis 30 %
III = bergig  Durchschnittliche Neigung der Geländeformen über 30 % bis 50 %</t>
        </r>
      </text>
    </comment>
  </commentList>
</comments>
</file>

<file path=xl/sharedStrings.xml><?xml version="1.0" encoding="utf-8"?>
<sst xmlns="http://schemas.openxmlformats.org/spreadsheetml/2006/main" count="2468" uniqueCount="1171">
  <si>
    <t>Maßstab</t>
  </si>
  <si>
    <t>Nebenkosten</t>
  </si>
  <si>
    <t>Profilart</t>
  </si>
  <si>
    <t>Leistungsumfang</t>
  </si>
  <si>
    <r>
      <t>F</t>
    </r>
    <r>
      <rPr>
        <i/>
        <vertAlign val="subscript"/>
        <sz val="10"/>
        <color theme="1"/>
        <rFont val="Cambria"/>
        <family val="1"/>
      </rPr>
      <t>1</t>
    </r>
  </si>
  <si>
    <r>
      <t>F</t>
    </r>
    <r>
      <rPr>
        <i/>
        <vertAlign val="subscript"/>
        <sz val="10"/>
        <color theme="1"/>
        <rFont val="Cambria"/>
        <family val="1"/>
      </rPr>
      <t>2</t>
    </r>
  </si>
  <si>
    <t>1:50</t>
  </si>
  <si>
    <t>1:100</t>
  </si>
  <si>
    <t>1:200</t>
  </si>
  <si>
    <t>1:500</t>
  </si>
  <si>
    <t>1:1000</t>
  </si>
  <si>
    <t>1:2000</t>
  </si>
  <si>
    <t>1:5000</t>
  </si>
  <si>
    <r>
      <t>F</t>
    </r>
    <r>
      <rPr>
        <i/>
        <vertAlign val="subscript"/>
        <sz val="10"/>
        <color theme="1"/>
        <rFont val="Cambria"/>
        <family val="1"/>
      </rPr>
      <t>3</t>
    </r>
  </si>
  <si>
    <r>
      <t>F</t>
    </r>
    <r>
      <rPr>
        <i/>
        <vertAlign val="subscript"/>
        <sz val="10"/>
        <color theme="1"/>
        <rFont val="Cambria"/>
        <family val="1"/>
      </rPr>
      <t>4</t>
    </r>
  </si>
  <si>
    <r>
      <t>F</t>
    </r>
    <r>
      <rPr>
        <i/>
        <vertAlign val="subscript"/>
        <sz val="10"/>
        <color theme="1"/>
        <rFont val="Cambria"/>
        <family val="1"/>
      </rPr>
      <t>5</t>
    </r>
  </si>
  <si>
    <r>
      <t>F</t>
    </r>
    <r>
      <rPr>
        <i/>
        <vertAlign val="subscript"/>
        <sz val="10"/>
        <color theme="1"/>
        <rFont val="Cambria"/>
        <family val="1"/>
      </rPr>
      <t>6</t>
    </r>
  </si>
  <si>
    <t>Ia</t>
  </si>
  <si>
    <t>IIa</t>
  </si>
  <si>
    <t>IIIa</t>
  </si>
  <si>
    <t>Ib</t>
  </si>
  <si>
    <t>IIb</t>
  </si>
  <si>
    <t>IIIb</t>
  </si>
  <si>
    <t>Ic</t>
  </si>
  <si>
    <t>IIc</t>
  </si>
  <si>
    <t>IIIc</t>
  </si>
  <si>
    <t>Gelände</t>
  </si>
  <si>
    <t>Gewässer</t>
  </si>
  <si>
    <t>Klasse</t>
  </si>
  <si>
    <t>Längsprofil</t>
  </si>
  <si>
    <t>Querprofil</t>
  </si>
  <si>
    <t>Profilart1</t>
  </si>
  <si>
    <t>Profilart2</t>
  </si>
  <si>
    <t>Messung und CAD-Auswertung</t>
  </si>
  <si>
    <t>Zu/Abschlag in %</t>
  </si>
  <si>
    <t>E i n g a b e b e r e i c h</t>
  </si>
  <si>
    <t>Überschrift</t>
  </si>
  <si>
    <t>Auftraggeber</t>
  </si>
  <si>
    <t>Projekt</t>
  </si>
  <si>
    <t>Bearbeiter</t>
  </si>
  <si>
    <t>Ansprechpartner</t>
  </si>
  <si>
    <t>Kalkulationsgrundlage: Leistungsbild für Vermessung und Geoinformation (LB_VG)</t>
  </si>
  <si>
    <t>GESAMT</t>
  </si>
  <si>
    <t>Herauszeichnen aus bestehenden LH-Plänen</t>
  </si>
  <si>
    <t>Formeln:</t>
  </si>
  <si>
    <t>n=</t>
  </si>
  <si>
    <t>l=</t>
  </si>
  <si>
    <r>
      <t>n</t>
    </r>
    <r>
      <rPr>
        <vertAlign val="subscript"/>
        <sz val="12"/>
        <rFont val="Calibri"/>
        <family val="2"/>
        <scheme val="minor"/>
      </rPr>
      <t>1</t>
    </r>
    <r>
      <rPr>
        <sz val="12"/>
        <rFont val="Calibri"/>
        <family val="2"/>
        <scheme val="minor"/>
      </rPr>
      <t>=</t>
    </r>
  </si>
  <si>
    <r>
      <t>n</t>
    </r>
    <r>
      <rPr>
        <vertAlign val="subscript"/>
        <sz val="12"/>
        <rFont val="Calibri"/>
        <family val="2"/>
        <scheme val="minor"/>
      </rPr>
      <t>2</t>
    </r>
    <r>
      <rPr>
        <sz val="12"/>
        <rFont val="Calibri"/>
        <family val="2"/>
        <scheme val="minor"/>
      </rPr>
      <t>=</t>
    </r>
  </si>
  <si>
    <r>
      <t>n</t>
    </r>
    <r>
      <rPr>
        <vertAlign val="subscript"/>
        <sz val="12"/>
        <rFont val="Calibri"/>
        <family val="2"/>
        <scheme val="minor"/>
      </rPr>
      <t>3</t>
    </r>
    <r>
      <rPr>
        <sz val="12"/>
        <rFont val="Calibri"/>
        <family val="2"/>
        <scheme val="minor"/>
      </rPr>
      <t>=</t>
    </r>
  </si>
  <si>
    <r>
      <t>l</t>
    </r>
    <r>
      <rPr>
        <vertAlign val="subscript"/>
        <sz val="12"/>
        <rFont val="Calibri"/>
        <family val="2"/>
        <scheme val="minor"/>
      </rPr>
      <t>1</t>
    </r>
    <r>
      <rPr>
        <sz val="12"/>
        <rFont val="Calibri"/>
        <family val="2"/>
        <scheme val="minor"/>
      </rPr>
      <t>=</t>
    </r>
  </si>
  <si>
    <r>
      <t>l</t>
    </r>
    <r>
      <rPr>
        <vertAlign val="subscript"/>
        <sz val="12"/>
        <rFont val="Calibri"/>
        <family val="2"/>
        <scheme val="minor"/>
      </rPr>
      <t>2</t>
    </r>
    <r>
      <rPr>
        <sz val="12"/>
        <rFont val="Calibri"/>
        <family val="2"/>
        <scheme val="minor"/>
      </rPr>
      <t>=</t>
    </r>
  </si>
  <si>
    <r>
      <t>l</t>
    </r>
    <r>
      <rPr>
        <vertAlign val="subscript"/>
        <sz val="12"/>
        <rFont val="Calibri"/>
        <family val="2"/>
        <scheme val="minor"/>
      </rPr>
      <t>3</t>
    </r>
    <r>
      <rPr>
        <sz val="12"/>
        <rFont val="Calibri"/>
        <family val="2"/>
        <scheme val="minor"/>
      </rPr>
      <t>=</t>
    </r>
  </si>
  <si>
    <t>durchschn. l=</t>
  </si>
  <si>
    <r>
      <t>Profilanzahl n</t>
    </r>
    <r>
      <rPr>
        <vertAlign val="subscript"/>
        <sz val="11"/>
        <color theme="1"/>
        <rFont val="Calibri"/>
        <family val="2"/>
        <scheme val="minor"/>
      </rPr>
      <t>i</t>
    </r>
  </si>
  <si>
    <r>
      <t>Gelände/Schwierigkeit s</t>
    </r>
    <r>
      <rPr>
        <vertAlign val="subscript"/>
        <sz val="11"/>
        <color theme="1"/>
        <rFont val="Calibri"/>
        <family val="2"/>
        <scheme val="minor"/>
      </rPr>
      <t>i</t>
    </r>
  </si>
  <si>
    <r>
      <t>Profilanzahl n</t>
    </r>
    <r>
      <rPr>
        <vertAlign val="subscript"/>
        <sz val="10"/>
        <color theme="1"/>
        <rFont val="Calibri"/>
        <family val="2"/>
        <scheme val="minor"/>
      </rPr>
      <t>i</t>
    </r>
  </si>
  <si>
    <r>
      <t>Gelände/Schwierigkeit s</t>
    </r>
    <r>
      <rPr>
        <vertAlign val="subscript"/>
        <sz val="10"/>
        <color theme="1"/>
        <rFont val="Calibri"/>
        <family val="2"/>
        <scheme val="minor"/>
      </rPr>
      <t>i</t>
    </r>
  </si>
  <si>
    <t>Masstab:</t>
  </si>
  <si>
    <r>
      <t>Profillänge l</t>
    </r>
    <r>
      <rPr>
        <vertAlign val="subscript"/>
        <sz val="11"/>
        <color theme="1"/>
        <rFont val="Calibri"/>
        <family val="2"/>
        <scheme val="minor"/>
      </rPr>
      <t>i</t>
    </r>
    <r>
      <rPr>
        <sz val="11"/>
        <color theme="1"/>
        <rFont val="Calibri"/>
        <family val="2"/>
        <scheme val="minor"/>
      </rPr>
      <t xml:space="preserve"> (gesamt)</t>
    </r>
  </si>
  <si>
    <t>Honorar:</t>
  </si>
  <si>
    <t>Ha=</t>
  </si>
  <si>
    <t>Hb=</t>
  </si>
  <si>
    <t>Hc=</t>
  </si>
  <si>
    <t>Abminderungsfaktor b</t>
  </si>
  <si>
    <t>Gesamthonorar:</t>
  </si>
  <si>
    <t>D r u c k b e r e i c h</t>
  </si>
  <si>
    <t>Abminderungsfaktor b:</t>
  </si>
  <si>
    <r>
      <t>s</t>
    </r>
    <r>
      <rPr>
        <vertAlign val="subscript"/>
        <sz val="12"/>
        <color theme="0" tint="-0.499984740745262"/>
        <rFont val="Calibri"/>
        <family val="2"/>
        <scheme val="minor"/>
      </rPr>
      <t>1</t>
    </r>
    <r>
      <rPr>
        <sz val="12"/>
        <color theme="0" tint="-0.499984740745262"/>
        <rFont val="Calibri"/>
        <family val="2"/>
        <scheme val="minor"/>
      </rPr>
      <t>=</t>
    </r>
  </si>
  <si>
    <r>
      <t>F</t>
    </r>
    <r>
      <rPr>
        <vertAlign val="subscript"/>
        <sz val="12"/>
        <color theme="0" tint="-0.499984740745262"/>
        <rFont val="Calibri"/>
        <family val="2"/>
        <scheme val="minor"/>
      </rPr>
      <t>1</t>
    </r>
    <r>
      <rPr>
        <sz val="12"/>
        <color theme="0" tint="-0.499984740745262"/>
        <rFont val="Calibri"/>
        <family val="2"/>
        <scheme val="minor"/>
      </rPr>
      <t>=</t>
    </r>
  </si>
  <si>
    <r>
      <t>s</t>
    </r>
    <r>
      <rPr>
        <vertAlign val="subscript"/>
        <sz val="12"/>
        <color theme="0" tint="-0.499984740745262"/>
        <rFont val="Calibri"/>
        <family val="2"/>
        <scheme val="minor"/>
      </rPr>
      <t>2</t>
    </r>
    <r>
      <rPr>
        <sz val="12"/>
        <color theme="0" tint="-0.499984740745262"/>
        <rFont val="Calibri"/>
        <family val="2"/>
        <scheme val="minor"/>
      </rPr>
      <t>=</t>
    </r>
  </si>
  <si>
    <r>
      <t>F</t>
    </r>
    <r>
      <rPr>
        <vertAlign val="subscript"/>
        <sz val="12"/>
        <color theme="0" tint="-0.499984740745262"/>
        <rFont val="Calibri"/>
        <family val="2"/>
        <scheme val="minor"/>
      </rPr>
      <t>2</t>
    </r>
    <r>
      <rPr>
        <sz val="12"/>
        <color theme="0" tint="-0.499984740745262"/>
        <rFont val="Calibri"/>
        <family val="2"/>
        <scheme val="minor"/>
      </rPr>
      <t>=</t>
    </r>
  </si>
  <si>
    <r>
      <t>s</t>
    </r>
    <r>
      <rPr>
        <vertAlign val="subscript"/>
        <sz val="12"/>
        <color theme="0" tint="-0.499984740745262"/>
        <rFont val="Calibri"/>
        <family val="2"/>
        <scheme val="minor"/>
      </rPr>
      <t>3</t>
    </r>
    <r>
      <rPr>
        <sz val="12"/>
        <color theme="0" tint="-0.499984740745262"/>
        <rFont val="Calibri"/>
        <family val="2"/>
        <scheme val="minor"/>
      </rPr>
      <t>=</t>
    </r>
  </si>
  <si>
    <r>
      <t>F</t>
    </r>
    <r>
      <rPr>
        <vertAlign val="subscript"/>
        <sz val="12"/>
        <color theme="0" tint="-0.499984740745262"/>
        <rFont val="Calibri"/>
        <family val="2"/>
        <scheme val="minor"/>
      </rPr>
      <t>3</t>
    </r>
    <r>
      <rPr>
        <sz val="12"/>
        <color theme="0" tint="-0.499984740745262"/>
        <rFont val="Calibri"/>
        <family val="2"/>
        <scheme val="minor"/>
      </rPr>
      <t>=</t>
    </r>
  </si>
  <si>
    <r>
      <t>F</t>
    </r>
    <r>
      <rPr>
        <vertAlign val="subscript"/>
        <sz val="12"/>
        <color theme="0" tint="-0.499984740745262"/>
        <rFont val="Calibri"/>
        <family val="2"/>
        <scheme val="minor"/>
      </rPr>
      <t>4</t>
    </r>
    <r>
      <rPr>
        <sz val="12"/>
        <color theme="0" tint="-0.499984740745262"/>
        <rFont val="Calibri"/>
        <family val="2"/>
        <scheme val="minor"/>
      </rPr>
      <t>=</t>
    </r>
  </si>
  <si>
    <r>
      <t>F</t>
    </r>
    <r>
      <rPr>
        <vertAlign val="subscript"/>
        <sz val="12"/>
        <color theme="0" tint="-0.499984740745262"/>
        <rFont val="Calibri"/>
        <family val="2"/>
        <scheme val="minor"/>
      </rPr>
      <t>5</t>
    </r>
    <r>
      <rPr>
        <sz val="12"/>
        <color theme="0" tint="-0.499984740745262"/>
        <rFont val="Calibri"/>
        <family val="2"/>
        <scheme val="minor"/>
      </rPr>
      <t>=</t>
    </r>
  </si>
  <si>
    <r>
      <t>F</t>
    </r>
    <r>
      <rPr>
        <vertAlign val="subscript"/>
        <sz val="12"/>
        <color theme="0" tint="-0.499984740745262"/>
        <rFont val="Calibri"/>
        <family val="2"/>
        <scheme val="minor"/>
      </rPr>
      <t>6</t>
    </r>
    <r>
      <rPr>
        <sz val="12"/>
        <color theme="0" tint="-0.499984740745262"/>
        <rFont val="Calibri"/>
        <family val="2"/>
        <scheme val="minor"/>
      </rPr>
      <t>=</t>
    </r>
  </si>
  <si>
    <t>Adresse</t>
  </si>
  <si>
    <t>Auftraggeber-GZ</t>
  </si>
  <si>
    <t>Auftragnehmer-GZ</t>
  </si>
  <si>
    <t>Zu/Abschlag in % (allg.)</t>
  </si>
  <si>
    <t>KATASTERVERMESSUNG</t>
  </si>
  <si>
    <t>TECHNISCHE VERMESSUNG:</t>
  </si>
  <si>
    <t>Ingenieurgeodätische Netzmessung</t>
  </si>
  <si>
    <t>Einzelpunkteinschaltung</t>
  </si>
  <si>
    <t>Kreisel-Stütz-Azimut</t>
  </si>
  <si>
    <t>Bestimmung von Detailpunkten mit oder ohne Höhe</t>
  </si>
  <si>
    <t>Punktbestimmung durch kinematische GNSS-Messung</t>
  </si>
  <si>
    <t>Nivellement</t>
  </si>
  <si>
    <t>Kombinierte Lage- und Höhenmessung - Geländeaufnahme</t>
  </si>
  <si>
    <t>Lage- und Höhenplan mit Höhenkoten und Höhenlinien</t>
  </si>
  <si>
    <t>3d-Planerstellung auf Basis eines 2,5d-Lage- und Höhenplanes</t>
  </si>
  <si>
    <t>Umbildung einer Geländeaufnahme durch Maßstabsänderung</t>
  </si>
  <si>
    <t>Umbildung einer Geländeaufnahme vom analogen auf digitalen Datenträger</t>
  </si>
  <si>
    <t>Nutzflächenermittlung</t>
  </si>
  <si>
    <t>Herstellung von Baubestandsplänen</t>
  </si>
  <si>
    <t>Herstellung von Profilen</t>
  </si>
  <si>
    <t>Absteckungen</t>
  </si>
  <si>
    <t>Achseinrechnung und Berechnung von Achszwischenpunkten</t>
  </si>
  <si>
    <t>Photogrammetrie</t>
  </si>
  <si>
    <t>Laserscanning</t>
  </si>
  <si>
    <t>Signalisierung und Stabilisierung</t>
  </si>
  <si>
    <t>GEOINFORMATION</t>
  </si>
  <si>
    <t>ADMINISTRATIVE UND SONSTIGE TÄTIGKEITEN</t>
  </si>
  <si>
    <t>Kanzleihonorare</t>
  </si>
  <si>
    <t>Regieleistungen</t>
  </si>
  <si>
    <t>Bieter</t>
  </si>
  <si>
    <r>
      <t>s</t>
    </r>
    <r>
      <rPr>
        <vertAlign val="subscript"/>
        <sz val="12"/>
        <rFont val="Calibri"/>
        <family val="2"/>
        <scheme val="minor"/>
      </rPr>
      <t>1</t>
    </r>
    <r>
      <rPr>
        <sz val="12"/>
        <rFont val="Calibri"/>
        <family val="2"/>
        <scheme val="minor"/>
      </rPr>
      <t>=</t>
    </r>
  </si>
  <si>
    <r>
      <t>s</t>
    </r>
    <r>
      <rPr>
        <vertAlign val="subscript"/>
        <sz val="12"/>
        <rFont val="Calibri"/>
        <family val="2"/>
        <scheme val="minor"/>
      </rPr>
      <t>2</t>
    </r>
    <r>
      <rPr>
        <sz val="12"/>
        <rFont val="Calibri"/>
        <family val="2"/>
        <scheme val="minor"/>
      </rPr>
      <t>=</t>
    </r>
  </si>
  <si>
    <r>
      <t>s</t>
    </r>
    <r>
      <rPr>
        <vertAlign val="subscript"/>
        <sz val="12"/>
        <rFont val="Calibri"/>
        <family val="2"/>
        <scheme val="minor"/>
      </rPr>
      <t>3</t>
    </r>
    <r>
      <rPr>
        <sz val="12"/>
        <rFont val="Calibri"/>
        <family val="2"/>
        <scheme val="minor"/>
      </rPr>
      <t>=</t>
    </r>
  </si>
  <si>
    <t>Anzahl der Layer:</t>
  </si>
  <si>
    <t>Fläche (ha):</t>
  </si>
  <si>
    <t>Summe Fläche:</t>
  </si>
  <si>
    <t>Geländeklasse:</t>
  </si>
  <si>
    <t>15</t>
  </si>
  <si>
    <t>Gel. Kl.</t>
  </si>
  <si>
    <t>0.5-1ha</t>
  </si>
  <si>
    <t>1-5ha</t>
  </si>
  <si>
    <t>5-20ha</t>
  </si>
  <si>
    <t>&gt;20ha</t>
  </si>
  <si>
    <t>k</t>
  </si>
  <si>
    <t>k-Werte</t>
  </si>
  <si>
    <t>d-Werte</t>
  </si>
  <si>
    <t>Aufnahme Maßstab</t>
  </si>
  <si>
    <t>k-Wert</t>
  </si>
  <si>
    <t>d-Wert</t>
  </si>
  <si>
    <t>1:250</t>
  </si>
  <si>
    <t>2</t>
  </si>
  <si>
    <t>3</t>
  </si>
  <si>
    <t>4</t>
  </si>
  <si>
    <t>5</t>
  </si>
  <si>
    <t>Konstante!$M$70:$Q$78</t>
  </si>
  <si>
    <t>Konstante!$AB$70:$AF$78</t>
  </si>
  <si>
    <t>Konstante!$C$70:$G$78</t>
  </si>
  <si>
    <t>Konstante!$H$70:$L$78</t>
  </si>
  <si>
    <t>1-20</t>
  </si>
  <si>
    <t>21-50</t>
  </si>
  <si>
    <t>51-100</t>
  </si>
  <si>
    <t>ja</t>
  </si>
  <si>
    <t>nein</t>
  </si>
  <si>
    <t>f</t>
  </si>
  <si>
    <t>d</t>
  </si>
  <si>
    <t>Konstante!$R$70:$V$78</t>
  </si>
  <si>
    <t>Konstante!$W$70:$AA$78</t>
  </si>
  <si>
    <t>Honorar</t>
  </si>
  <si>
    <t>Straßenlänge:</t>
  </si>
  <si>
    <t>A=</t>
  </si>
  <si>
    <t>Aufnahmefläche</t>
  </si>
  <si>
    <t>Geländeklasse</t>
  </si>
  <si>
    <t>(ab dem 3.)</t>
  </si>
  <si>
    <t>längenbezogene Objekte (km):</t>
  </si>
  <si>
    <t>(Lärmschutzwände, Stützmauern)</t>
  </si>
  <si>
    <t>zus. Fahrstreifen (km):</t>
  </si>
  <si>
    <t>(Brücken, Unterführungen, Durchlässe)</t>
  </si>
  <si>
    <t>(pro zusätzlichen Fahrstreifen oder pro 30m Brückenlänge)</t>
  </si>
  <si>
    <t>Anzahl Kreuzungen:</t>
  </si>
  <si>
    <t>Art der Bearbeitung:</t>
  </si>
  <si>
    <t>Straßenlänge (km):</t>
  </si>
  <si>
    <t>ha</t>
  </si>
  <si>
    <t>Layeranzahl</t>
  </si>
  <si>
    <t>Faktor Geländeklasse</t>
  </si>
  <si>
    <t>Korrekturfaktor</t>
  </si>
  <si>
    <t>gleichzeitige Beauftragung der 2,5d Aufnahme</t>
  </si>
  <si>
    <t>gesonderte Beauftragung</t>
  </si>
  <si>
    <t>Übernahme von Fremddaten</t>
  </si>
  <si>
    <t>Anz. Überlänge oder Überbreite:</t>
  </si>
  <si>
    <t>Datenherkunft</t>
  </si>
  <si>
    <t>analog</t>
  </si>
  <si>
    <t>digital</t>
  </si>
  <si>
    <t>Zielmaßstab:</t>
  </si>
  <si>
    <t>analog auf digital</t>
  </si>
  <si>
    <t>Datenherkunft:</t>
  </si>
  <si>
    <t>Schwierigkeitsgrad</t>
  </si>
  <si>
    <t>I</t>
  </si>
  <si>
    <t>II</t>
  </si>
  <si>
    <t>III</t>
  </si>
  <si>
    <t>M</t>
  </si>
  <si>
    <t>Gebäude ohne Achssystem</t>
  </si>
  <si>
    <t>Historisches Gebäude</t>
  </si>
  <si>
    <t>Zeitgenössisches Gebäude mit Achssystem</t>
  </si>
  <si>
    <t>mit Höhe</t>
  </si>
  <si>
    <t>mittlerer Punktabstand</t>
  </si>
  <si>
    <t>Punktanzahl</t>
  </si>
  <si>
    <t>Punkteinrechnung</t>
  </si>
  <si>
    <t>Messeinsätze</t>
  </si>
  <si>
    <t>10m</t>
  </si>
  <si>
    <t>20m</t>
  </si>
  <si>
    <t>25m</t>
  </si>
  <si>
    <t>50m</t>
  </si>
  <si>
    <t>100m</t>
  </si>
  <si>
    <t>G</t>
  </si>
  <si>
    <t>Punktlagegenauigkeit</t>
  </si>
  <si>
    <t>Koordinatenverzeichnis im System der Landesvermessung</t>
  </si>
  <si>
    <t>Koordinatenverzeichnis in eindeutigem lokalem System</t>
  </si>
  <si>
    <t>Homogene Maßangaben</t>
  </si>
  <si>
    <t>Inhomogene Maßangaben (leicht)</t>
  </si>
  <si>
    <t>Inhomogene Maßangaben (mittel)</t>
  </si>
  <si>
    <t>Inhomogene Maßangaben (schwer)</t>
  </si>
  <si>
    <t>Punkte</t>
  </si>
  <si>
    <t>Höhe</t>
  </si>
  <si>
    <t>T</t>
  </si>
  <si>
    <t>Messeinsätze/Anfahrten:</t>
  </si>
  <si>
    <t>mit Höhe abstecken</t>
  </si>
  <si>
    <t>Punktlage-  genauigkeit</t>
  </si>
  <si>
    <t>Trassenhauptpunkte</t>
  </si>
  <si>
    <t>0-5</t>
  </si>
  <si>
    <t>5-20</t>
  </si>
  <si>
    <t>über 20</t>
  </si>
  <si>
    <t>Achszwischenpunkte</t>
  </si>
  <si>
    <t>Dimension</t>
  </si>
  <si>
    <t>Lage</t>
  </si>
  <si>
    <t>Lage und Höhe</t>
  </si>
  <si>
    <t>Lage, Höhe und Überhöhung</t>
  </si>
  <si>
    <t>von Achszwischenpunkten</t>
  </si>
  <si>
    <t>Achslänge</t>
  </si>
  <si>
    <t>Achszwischenpunkte je km</t>
  </si>
  <si>
    <t>Trassenhaupt-      punkte je km</t>
  </si>
  <si>
    <t>g</t>
  </si>
  <si>
    <t>Trassenhaupt- punkte je km</t>
  </si>
  <si>
    <t>Polygonstein, Länge mind. 50 cm</t>
  </si>
  <si>
    <t>Grenzstein, Länge mind. 50 cm</t>
  </si>
  <si>
    <t>Kunststoff- oder Metallmarke, Länge mind. 50 cm</t>
  </si>
  <si>
    <t>Gabelpunkt</t>
  </si>
  <si>
    <t>Eisenrohr oder Eisenbolzen, einbetoniert</t>
  </si>
  <si>
    <t>Eisenrohr oder Eisenbolzen</t>
  </si>
  <si>
    <t>Eingemeißeltes Kreuz oder Loch</t>
  </si>
  <si>
    <t>Sichtpflock, Länge mind. 60 cm</t>
  </si>
  <si>
    <t>Bodenpflock, Länge mind. 30 cm</t>
  </si>
  <si>
    <t>Schriftschindel beschriftet mit Kopf, Länge 60 cm</t>
  </si>
  <si>
    <t>Signalstange beschriftet, mit weißem Kopf, Lg. 120 cm</t>
  </si>
  <si>
    <t>Punktsicherung durch Lattendreieck auf 3 Pflöcken</t>
  </si>
  <si>
    <t>Höhenbolzen in Bauwerken oder im Fels</t>
  </si>
  <si>
    <t>Artikel</t>
  </si>
  <si>
    <t>Versetzen</t>
  </si>
  <si>
    <t>Material</t>
  </si>
  <si>
    <t>v+m</t>
  </si>
  <si>
    <t>v</t>
  </si>
  <si>
    <t>m</t>
  </si>
  <si>
    <t>Pos. Nr.</t>
  </si>
  <si>
    <t>Erreichbarkeit</t>
  </si>
  <si>
    <t>A</t>
  </si>
  <si>
    <t>mit Kfz erreichbar</t>
  </si>
  <si>
    <t>B</t>
  </si>
  <si>
    <t>mit Kfz nur über Umwege oder mit Geländefahrzeug erreichbar</t>
  </si>
  <si>
    <t>C</t>
  </si>
  <si>
    <t>nur mit langen Fußmärschen erreichbar</t>
  </si>
  <si>
    <t>Anzahl</t>
  </si>
  <si>
    <t>Vermarkung</t>
  </si>
  <si>
    <t>Geländeklassenspalten</t>
  </si>
  <si>
    <t>A - mit Kfz erreichbar</t>
  </si>
  <si>
    <t>B - mit Kfz nur über Umwege oder mit Geländefahrzeug erreichbar</t>
  </si>
  <si>
    <t>C - nur mit langen Fußmärschen erreichbar</t>
  </si>
  <si>
    <t>E</t>
  </si>
  <si>
    <t>Erreichbarkeit:</t>
  </si>
  <si>
    <t>F</t>
  </si>
  <si>
    <t>H</t>
  </si>
  <si>
    <t>K</t>
  </si>
  <si>
    <t>L</t>
  </si>
  <si>
    <t>S</t>
  </si>
  <si>
    <t>Leistungsumfang:</t>
  </si>
  <si>
    <t xml:space="preserve">W = </t>
  </si>
  <si>
    <t xml:space="preserve">E = </t>
  </si>
  <si>
    <t xml:space="preserve">G = </t>
  </si>
  <si>
    <t>interpolierter Wert aus Tabelle</t>
  </si>
  <si>
    <t xml:space="preserve">A = </t>
  </si>
  <si>
    <t>Anzahl der Netzpunkte</t>
  </si>
  <si>
    <t xml:space="preserve">n = </t>
  </si>
  <si>
    <t>A: zweiter Wert</t>
  </si>
  <si>
    <t>A: erster Wert</t>
  </si>
  <si>
    <t>Interpolation:</t>
  </si>
  <si>
    <t xml:space="preserve">h = </t>
  </si>
  <si>
    <t>NEIN</t>
  </si>
  <si>
    <t>inkl. Höhenmess.:</t>
  </si>
  <si>
    <t>Wiederholungsmess.:</t>
  </si>
  <si>
    <t>Erschwernis:</t>
  </si>
  <si>
    <t>L=(2mm+8mm/km) H=(5mm+10mm/km)</t>
  </si>
  <si>
    <t>G =</t>
  </si>
  <si>
    <t>Standardabweichung in Lage und Höhe:</t>
  </si>
  <si>
    <t>Konstante!$C$24:$C$25</t>
  </si>
  <si>
    <t>Anzahl der Netzpunkte:</t>
  </si>
  <si>
    <t>Konstante!$C$22:$C$23</t>
  </si>
  <si>
    <t>Mindestanzahl an Netzpunkten:</t>
  </si>
  <si>
    <t>vorgeschlagene Messmethode:</t>
  </si>
  <si>
    <t>Klasse 1: bis 600m; Klasse 2: über 600m</t>
  </si>
  <si>
    <t>Punktabstandsklasse:</t>
  </si>
  <si>
    <t>Durchschnittlicher Punktabstand [m]:</t>
  </si>
  <si>
    <t xml:space="preserve">f = </t>
  </si>
  <si>
    <t>Anzahl der Polygonpunkte inkl. Anschlusspunkte</t>
  </si>
  <si>
    <t>Länge des Polygonzuges</t>
  </si>
  <si>
    <t xml:space="preserve">S = </t>
  </si>
  <si>
    <t>Term 4</t>
  </si>
  <si>
    <t>Term 3</t>
  </si>
  <si>
    <t>Geländeklasse/Schwierigkeitsstufe</t>
  </si>
  <si>
    <t>Term 2</t>
  </si>
  <si>
    <t>Term 1</t>
  </si>
  <si>
    <t>Anzahl der Instr.-standpunkte inkl. Anschlusspunkte</t>
  </si>
  <si>
    <t>Formel:</t>
  </si>
  <si>
    <t>Länge des Polygonzuges [km]</t>
  </si>
  <si>
    <t>ohne Punktbeschreibung und ohne Polygonzugsübersicht, ohne Höhenmessung</t>
  </si>
  <si>
    <t>Standardabw. in Lage und Höhe:</t>
  </si>
  <si>
    <t>Technischer Polygonzug</t>
  </si>
  <si>
    <t>Art des Poygonzuges:</t>
  </si>
  <si>
    <t>Genauigkeitsfaktor</t>
  </si>
  <si>
    <t>durchschnittliche Seitenlänge zu Bodenzielen</t>
  </si>
  <si>
    <t>Genauigkeitkeitsfaktor</t>
  </si>
  <si>
    <t>durchschnittliche Seitenlänge zu Bodenzielen in [km]</t>
  </si>
  <si>
    <t>mit Topographien, Netzübersicht und mit Höhenbestimmung</t>
  </si>
  <si>
    <t>abweichung</t>
  </si>
  <si>
    <t>preis</t>
  </si>
  <si>
    <t>faktor</t>
  </si>
  <si>
    <t>Polygonseiten</t>
  </si>
  <si>
    <t>gruppe</t>
  </si>
  <si>
    <t>Standard-</t>
  </si>
  <si>
    <t>Einzel-</t>
  </si>
  <si>
    <t>Genauigkeits-</t>
  </si>
  <si>
    <t>Azimut-</t>
  </si>
  <si>
    <t>H = (15 * n + 31,5) * G * IS + N</t>
  </si>
  <si>
    <t>weitere Azimutgruppe:</t>
  </si>
  <si>
    <t>H = (15 * n + 61,2) * G * IS + N</t>
  </si>
  <si>
    <t>Erste Azimutgruppe:</t>
  </si>
  <si>
    <t>Vollständigkeit (5):</t>
  </si>
  <si>
    <t>Vollständigkeit (4):</t>
  </si>
  <si>
    <t>Vollständigkeit (3):</t>
  </si>
  <si>
    <t>Vollständigkeit (2):</t>
  </si>
  <si>
    <t>Vollständigkeit (1):</t>
  </si>
  <si>
    <t>f =</t>
  </si>
  <si>
    <t>Anzahl der zu bestimmenden Punkte</t>
  </si>
  <si>
    <t xml:space="preserve">P = </t>
  </si>
  <si>
    <t>Länge als geradlinige Verbindung der zu bestimmenden Punkte</t>
  </si>
  <si>
    <t xml:space="preserve">    Standardabweichung</t>
  </si>
  <si>
    <t>2mm</t>
  </si>
  <si>
    <t xml:space="preserve">    Geländeklasse und Schwierigkeitsstufe</t>
  </si>
  <si>
    <t xml:space="preserve">    Anzahl der zu bestimmenden Punkte</t>
  </si>
  <si>
    <t>P</t>
  </si>
  <si>
    <t xml:space="preserve">    Länge in km als geradlinige Verbindung der zu bestimmenden Punkte</t>
  </si>
  <si>
    <t>Wiederholungsmessung</t>
  </si>
  <si>
    <t>Anzahl der zu topographierenden Nivellementpunkte</t>
  </si>
  <si>
    <t>n =</t>
  </si>
  <si>
    <t>Einfacher Nivellementweg in km</t>
  </si>
  <si>
    <t>S =</t>
  </si>
  <si>
    <t>Genauigkeitsfaktor gemäß Art des Nivellements</t>
  </si>
  <si>
    <t>H = (13,963 * S * G * f + 0,293 * n + 0,595) * IS + N</t>
  </si>
  <si>
    <t xml:space="preserve">    Anzahl der zu topographierenden Nivellementpunkte</t>
  </si>
  <si>
    <t>n</t>
  </si>
  <si>
    <t xml:space="preserve">   Einfacher Nivellementweg in km</t>
  </si>
  <si>
    <t xml:space="preserve">    Genauigkeitsfaktor gemäß Art des Nivellements</t>
  </si>
  <si>
    <t xml:space="preserve">    Art des Nivellements</t>
  </si>
  <si>
    <t>Ingenieurnivellement</t>
  </si>
  <si>
    <t>D =</t>
  </si>
  <si>
    <t>Ed =</t>
  </si>
  <si>
    <t>Es =</t>
  </si>
  <si>
    <t>Anzahl der mit trig. Höhenmessung bestimmten Detailpunkte</t>
  </si>
  <si>
    <t>Ndh =</t>
  </si>
  <si>
    <t>Anzahl der erstmals aufgenommenen Detailpunkte (Nullmessung)</t>
  </si>
  <si>
    <t xml:space="preserve">Nd = </t>
  </si>
  <si>
    <t>Anzahl der nicht zugänglichen Detailpunkte</t>
  </si>
  <si>
    <t>Nds =</t>
  </si>
  <si>
    <t>Anzahl der zugänglichen Detailpunkte</t>
  </si>
  <si>
    <t>Ndp =</t>
  </si>
  <si>
    <t>Anzahl der Stadpunkte</t>
  </si>
  <si>
    <t xml:space="preserve">H = </t>
  </si>
  <si>
    <t xml:space="preserve">    Darstellungsfaktor</t>
  </si>
  <si>
    <t>Zwangspunkte Lage</t>
  </si>
  <si>
    <t>D</t>
  </si>
  <si>
    <t xml:space="preserve">    (Standardabweichung Lage/Höhe)</t>
  </si>
  <si>
    <t>20mm/15mm</t>
  </si>
  <si>
    <t>einfach</t>
  </si>
  <si>
    <t xml:space="preserve">    Erreichbarkeitszuschlag für Detailpunkte</t>
  </si>
  <si>
    <t>Ed</t>
  </si>
  <si>
    <t xml:space="preserve">    Erreichbarkeitszuschlag für Standpunkte</t>
  </si>
  <si>
    <t>Es</t>
  </si>
  <si>
    <t xml:space="preserve">    Anzahl der mit trig. Höhenmessung bestimmten Detailpunkte</t>
  </si>
  <si>
    <t>Ndh</t>
  </si>
  <si>
    <t xml:space="preserve">    Anzahl der erstmals aufgenommenen Detailpunkte (Nullmessung)</t>
  </si>
  <si>
    <t>Nd</t>
  </si>
  <si>
    <t xml:space="preserve">    Anzahl der nicht zugänglichen Detailpunkte</t>
  </si>
  <si>
    <t>Nds</t>
  </si>
  <si>
    <t xml:space="preserve">    Anzahl der zugänglichen Detailpunkte</t>
  </si>
  <si>
    <t>Ndp</t>
  </si>
  <si>
    <t>Messung</t>
  </si>
  <si>
    <t>l3=</t>
  </si>
  <si>
    <t>l2=</t>
  </si>
  <si>
    <t>ns =</t>
  </si>
  <si>
    <t>n+ =</t>
  </si>
  <si>
    <t>l1=</t>
  </si>
  <si>
    <t>ns3 =</t>
  </si>
  <si>
    <t>n3+ =</t>
  </si>
  <si>
    <t>n3=</t>
  </si>
  <si>
    <t>ns2 =</t>
  </si>
  <si>
    <t>n2+ =</t>
  </si>
  <si>
    <t>n2=</t>
  </si>
  <si>
    <t>ns1 =</t>
  </si>
  <si>
    <t>n1+ =</t>
  </si>
  <si>
    <t>n1=</t>
  </si>
  <si>
    <t xml:space="preserve">T = </t>
  </si>
  <si>
    <t xml:space="preserve">F4 = </t>
  </si>
  <si>
    <t>F3 =</t>
  </si>
  <si>
    <t>F2 =</t>
  </si>
  <si>
    <t>2) Auswertung digitaler Datensätze</t>
  </si>
  <si>
    <t>Additionskonstante für Projektvorbereitung</t>
  </si>
  <si>
    <t>A =</t>
  </si>
  <si>
    <t>Anzahl der zu bestimmenden Neupunkte</t>
  </si>
  <si>
    <t>1) Einzelpunktauswerungen</t>
  </si>
  <si>
    <t>Photogrammetrische Auswertung</t>
  </si>
  <si>
    <t>Anzahl der zu triangulierenden Bilder</t>
  </si>
  <si>
    <t>Aerotriangulation</t>
  </si>
  <si>
    <t xml:space="preserve">z = </t>
  </si>
  <si>
    <t>d =</t>
  </si>
  <si>
    <t xml:space="preserve">F = </t>
  </si>
  <si>
    <t>Anzahl der einzumessenden Passpunkträume</t>
  </si>
  <si>
    <t xml:space="preserve">M = </t>
  </si>
  <si>
    <t>Terrestr. Passpunktbestimmung</t>
  </si>
  <si>
    <t>Flugkosten:</t>
  </si>
  <si>
    <t>IS:</t>
  </si>
  <si>
    <t>Vollständigkeit der Einzelpunktauswertung:</t>
  </si>
  <si>
    <t>Vollständigkeit der Aerotriangulation:</t>
  </si>
  <si>
    <t>Vollständigkeit der Passpunktbestimmung:</t>
  </si>
  <si>
    <t>Normalwinkel</t>
  </si>
  <si>
    <t xml:space="preserve">    Objektivart bei der Befliegung</t>
  </si>
  <si>
    <t>städtische Gebiete</t>
  </si>
  <si>
    <t xml:space="preserve">    Strukturierung der Oberfläche</t>
  </si>
  <si>
    <t>für mehrere Wochen</t>
  </si>
  <si>
    <t xml:space="preserve">    Zeitdauer der Befliegung</t>
  </si>
  <si>
    <t>Sonnenhöchststand +/-2h</t>
  </si>
  <si>
    <t xml:space="preserve">    Befliegungsdauer pro Tag</t>
  </si>
  <si>
    <t xml:space="preserve">    Jahreszeit der Befliegung</t>
  </si>
  <si>
    <t>eben, hügelig</t>
  </si>
  <si>
    <t xml:space="preserve">    Geländeklasse</t>
  </si>
  <si>
    <t xml:space="preserve">    Anzahl der Orthophotovorlagen</t>
  </si>
  <si>
    <t>3) Digitale Orthophotos</t>
  </si>
  <si>
    <t xml:space="preserve">    Sonstige Ab/Zuschläge</t>
  </si>
  <si>
    <t>lockere Verbauung (z.B. Stadtrandsiedlung, Autobahnknoten), Gkl. II</t>
  </si>
  <si>
    <t>1 : 20.000</t>
  </si>
  <si>
    <t xml:space="preserve">    Schwierigkeit</t>
  </si>
  <si>
    <t>Automatische DOM-Auswertung mit DGM-Berechnung</t>
  </si>
  <si>
    <t xml:space="preserve">    Höhenauswertung:</t>
  </si>
  <si>
    <t>nur Lage</t>
  </si>
  <si>
    <t xml:space="preserve">    Dimension der Auswertung</t>
  </si>
  <si>
    <t xml:space="preserve">    Anzahl der Neupuntke</t>
  </si>
  <si>
    <t>1) Einzelpunktauswertung</t>
  </si>
  <si>
    <t>Photogrammetrsiche Auswertung</t>
  </si>
  <si>
    <t xml:space="preserve">    Anzahl der zu triangulierenden Bilder</t>
  </si>
  <si>
    <t>automatisch</t>
  </si>
  <si>
    <t xml:space="preserve">    Messart der Verknüpfungspunkte</t>
  </si>
  <si>
    <t xml:space="preserve">    Sonstige Zuschläge</t>
  </si>
  <si>
    <t>keine Dokumentation</t>
  </si>
  <si>
    <t xml:space="preserve">    Passpunktdokumentation:</t>
  </si>
  <si>
    <t>Vorhandenes Triangulierungsnetz III. Ordnung (rd. 6 km Abstand)</t>
  </si>
  <si>
    <t>schwer zugänglich</t>
  </si>
  <si>
    <t xml:space="preserve">Zugänglichkeit:  </t>
  </si>
  <si>
    <t xml:space="preserve">    Anzahl der einzumessenden Passpunkträume</t>
  </si>
  <si>
    <t xml:space="preserve">    Auswertemaßstab</t>
  </si>
  <si>
    <t>Flugkosten</t>
  </si>
  <si>
    <t>Netzmessung</t>
  </si>
  <si>
    <t>Polygonzug</t>
  </si>
  <si>
    <t>Standardabweichung in Lage und Höhe</t>
  </si>
  <si>
    <t>Tachymetrie</t>
  </si>
  <si>
    <t>GNSS</t>
  </si>
  <si>
    <t>Anzah</t>
  </si>
  <si>
    <t>durchschnittliche Entfernung benachbarter Netzpunkte</t>
  </si>
  <si>
    <t>durchschn. Entfernung benachbarter  Netzpunkte in [km]</t>
  </si>
  <si>
    <t>Hilfsspalte</t>
  </si>
  <si>
    <t>L=(6mm+20mm/km) H=(15mm+20mm/km)</t>
  </si>
  <si>
    <t>mit Punktbeschreibung und mit Polygonzugsübersicht, ohne Höhenmessung</t>
  </si>
  <si>
    <t>mit Topographien und Netzübersicht, ohne Höhenbestimmung</t>
  </si>
  <si>
    <t>H = ((2,832 *  S + 1,416) x f + 7,821) * G * IS + N</t>
  </si>
  <si>
    <t>L=(8mm+0,5mm/km) H=(20mm+1mm/km)</t>
  </si>
  <si>
    <t>Erster Pkt.:</t>
  </si>
  <si>
    <t>ohne Topographien und ohne Netzübersicht, ohne Höhenbestimmung</t>
  </si>
  <si>
    <t>H = ((2,832 * S + 0,474) * f + 6,809) * G * IS + N</t>
  </si>
  <si>
    <t>L=(15mm+2mm/km) H=(40mm+2mm/km)</t>
  </si>
  <si>
    <t>weiterer Pkt.:</t>
  </si>
  <si>
    <t>mit Höhenmessung, mit Punktbeschreibung und mit Polygonzugsübersicht</t>
  </si>
  <si>
    <t>H = ((2,832 * S + 1,416) * f + 7,821) * G * 1,154 * IS + N</t>
  </si>
  <si>
    <t>mit Höhenmessung, ohne Punktbeschreibung und ohne Polygonzugsübersicht</t>
  </si>
  <si>
    <t>ohne Topographien, ohne Netzübersicht und mit Höhenbestimmung</t>
  </si>
  <si>
    <t>H = ((2,832 * S + 0,474) * f + 6,809) * G * 1,154 * IS + N</t>
  </si>
  <si>
    <t>Trionom.Höhen</t>
  </si>
  <si>
    <t xml:space="preserve"> </t>
  </si>
  <si>
    <t>JA</t>
  </si>
  <si>
    <t>weitere</t>
  </si>
  <si>
    <t>Art:</t>
  </si>
  <si>
    <t>Feinpolygonzug</t>
  </si>
  <si>
    <t>L=(10mm/km) H=(10mm/km)</t>
  </si>
  <si>
    <t>tachymetrisch</t>
  </si>
  <si>
    <t xml:space="preserve">Bearbeitungsaufwand von Netzen mit durchschnittlichem Punktabstand von max. 600m </t>
  </si>
  <si>
    <t>H = (A * G * E * W * h * IS) + N</t>
  </si>
  <si>
    <t>L=(30mm/km) H=(35mm/km)</t>
  </si>
  <si>
    <t>Bearbeitungsaufwand von Netzen mit durchschnittlichem Punktabstand von mehr als 600m</t>
  </si>
  <si>
    <t>H = (A * G * E * W * IS) + N</t>
  </si>
  <si>
    <t>Auswertemaßstab:</t>
  </si>
  <si>
    <t>zugänglichkeit</t>
  </si>
  <si>
    <t>Passpunktdokumentation:</t>
  </si>
  <si>
    <t>Messart der Verknüpfungspunkte:</t>
  </si>
  <si>
    <t>Jahreszeit der Befliegung:</t>
  </si>
  <si>
    <t>Strukturierung der Oberfläche/Bebauung:</t>
  </si>
  <si>
    <t>leicht zugänglich</t>
  </si>
  <si>
    <t>Ackerland mit großen Grundstücken, Geländeklasse I (eben)</t>
  </si>
  <si>
    <t>Manuelle Höhenlinienauswertung</t>
  </si>
  <si>
    <t>ländliche Gebiete</t>
  </si>
  <si>
    <t>1 : 10.000</t>
  </si>
  <si>
    <t>Punktbeschreibungen</t>
  </si>
  <si>
    <t>manuell</t>
  </si>
  <si>
    <t>Ackerland mit großen Grundstücken, Geländeklasse II (hügelig)</t>
  </si>
  <si>
    <t>Manuelle Höhenmodellauswertung mit DGM-Berechnung</t>
  </si>
  <si>
    <t>Frühjahr/Herbst</t>
  </si>
  <si>
    <t>1 : 5.000</t>
  </si>
  <si>
    <t>Eintragung in Skizzen</t>
  </si>
  <si>
    <t>Ackerland mit großen Grundstücken, Geländeklasse III (bergig)</t>
  </si>
  <si>
    <t>Winter</t>
  </si>
  <si>
    <t>1 : 2.500</t>
  </si>
  <si>
    <t>Eintragung in Messbilder</t>
  </si>
  <si>
    <t>Freiland mit  Einzelgebäuden und einzelnen Verkehrswegen, Gkl. I</t>
  </si>
  <si>
    <t>1 : 2.000</t>
  </si>
  <si>
    <t>Freiland mit  Einzelgebäuden und einzelnen Verkehrswegen, Gkl. II</t>
  </si>
  <si>
    <t>Befliegungsdauer pro Tag:</t>
  </si>
  <si>
    <t>Objektivart:</t>
  </si>
  <si>
    <t>1 : 1.000</t>
  </si>
  <si>
    <t>Freiland mit  Einzelgebäuden und einzelnen Verkehrswegen, Gkl. III</t>
  </si>
  <si>
    <t>1 : 500</t>
  </si>
  <si>
    <t>Vorhandene Festpunkte mit Abständen &lt; 1km</t>
  </si>
  <si>
    <t>lockere Verbauung (z.B. Stadtrandsiedlung, Autobahnknoten), Gkl. I</t>
  </si>
  <si>
    <t>Sonnenhöchststand +/-4h</t>
  </si>
  <si>
    <t>Weitwinkel</t>
  </si>
  <si>
    <t>Vorhandenes Triangulierungsnetz V. Ordnung (rd. 1 km Abstand)</t>
  </si>
  <si>
    <t>gebirgig</t>
  </si>
  <si>
    <t>Vorhandenes Triangulierungsnetz IV. Ordnung (rd. 2,5 km Abstand)</t>
  </si>
  <si>
    <t>Lage- und Höhe</t>
  </si>
  <si>
    <t>lockere Verbauung (z.B. Stadtrandsiedlung, Autobahnknoten), Gkl. III</t>
  </si>
  <si>
    <t>Zeitdauer der Befliegung:</t>
  </si>
  <si>
    <t>dichte Verbauung (z.B. Stadtgebiet), Gkl. I</t>
  </si>
  <si>
    <t>für einen Tag</t>
  </si>
  <si>
    <t>keine Triangulierung oder nur Triangulierung I. oder II. Ordnung vorhanden</t>
  </si>
  <si>
    <t>dichte Verbauung (z.B. Stadtgebiet), Gkl. II</t>
  </si>
  <si>
    <t>für wenige Tage</t>
  </si>
  <si>
    <t>sehr dichte Verbauung (z.B. bei Ortskernen, Altstädten,…), Gkl .I</t>
  </si>
  <si>
    <t>Detailpunkte (Deformationsmessung, Zwangspuntke, Sol-Ist-Vergleich)</t>
  </si>
  <si>
    <t>Setzungsmessung</t>
  </si>
  <si>
    <t>Deformationsmessung</t>
  </si>
  <si>
    <t>Nullmessung</t>
  </si>
  <si>
    <t>Zwangspunkte L+H</t>
  </si>
  <si>
    <t>mittel</t>
  </si>
  <si>
    <t>schwer</t>
  </si>
  <si>
    <t>Zwangspunkte Höhe</t>
  </si>
  <si>
    <t>Genauigkeit G</t>
  </si>
  <si>
    <t>ZP L+H gem. mit Geländeaufn.</t>
  </si>
  <si>
    <t>0,5mm</t>
  </si>
  <si>
    <t>3mm/5mm</t>
  </si>
  <si>
    <t>ZP Lage gem. mit Geländeaufn.</t>
  </si>
  <si>
    <t>7mm/7mm</t>
  </si>
  <si>
    <t>ZP Höhe gem. mit Geländeaufn.</t>
  </si>
  <si>
    <t>5mm</t>
  </si>
  <si>
    <t>10mm/10mm</t>
  </si>
  <si>
    <t>Soll-Ist-Vergl.: Punktkontrolle L+H</t>
  </si>
  <si>
    <t>20mm</t>
  </si>
  <si>
    <t>Soll-Ist-Vergl.: Punktkontrolle Lage</t>
  </si>
  <si>
    <t>50mm/50mm</t>
  </si>
  <si>
    <t>Soll-Ist-Vergl.: Punktkontrolle Höhe</t>
  </si>
  <si>
    <t>Präzisionsnivellement</t>
  </si>
  <si>
    <t>Technisches Nivellement</t>
  </si>
  <si>
    <t>max. Länge in [m] für n=1:</t>
  </si>
  <si>
    <t>Setzungsmessung, Flächennivellement</t>
  </si>
  <si>
    <t>Zu/Abschlag :</t>
  </si>
  <si>
    <t>Sommer</t>
  </si>
  <si>
    <t>Vollständigkeit der Auswertung digitaler Datensätze</t>
  </si>
  <si>
    <t>Vollständigkeit Digitale Orthophotos</t>
  </si>
  <si>
    <t>3 Digitale Orthophotos (DOP)</t>
  </si>
  <si>
    <t>Anzahl der Orthophotovorlagen</t>
  </si>
  <si>
    <t>Jahreszeit der Befliegung</t>
  </si>
  <si>
    <t>Befliegungsdauer pro Tag</t>
  </si>
  <si>
    <t>Zeitdauer der Befliegung</t>
  </si>
  <si>
    <t>Strukturierung der Oberfläche</t>
  </si>
  <si>
    <t>Objektivart bei der Befliegung</t>
  </si>
  <si>
    <t>fortlaufende Nummer</t>
  </si>
  <si>
    <t>LB_VG-Position</t>
  </si>
  <si>
    <t>keine Rundung</t>
  </si>
  <si>
    <t>Rundung auf 10 Cent</t>
  </si>
  <si>
    <t>Rundung auf Euro</t>
  </si>
  <si>
    <t>Rundung auf 10 Euro</t>
  </si>
  <si>
    <t>Rundung auf 100 Euro</t>
  </si>
  <si>
    <t>Liste</t>
  </si>
  <si>
    <t>Pos. in</t>
  </si>
  <si>
    <t>vorhanden</t>
  </si>
  <si>
    <t>Kalk.</t>
  </si>
  <si>
    <t>kalkulierte Positionen anführen</t>
  </si>
  <si>
    <t>Preis</t>
  </si>
  <si>
    <t>Leistung</t>
  </si>
  <si>
    <t>Preis [€]</t>
  </si>
  <si>
    <t>Positionsbezeichnung:</t>
  </si>
  <si>
    <t>Positionsangaben:</t>
  </si>
  <si>
    <t>Rundung vornehmen:</t>
  </si>
  <si>
    <t>Zwischensumme:</t>
  </si>
  <si>
    <t>20% Mwst.</t>
  </si>
  <si>
    <t>Gesamthonorar brutto</t>
  </si>
  <si>
    <t xml:space="preserve">Pos.  </t>
  </si>
  <si>
    <t>* Weiße Felder des Eingabebereiches ausfüllen</t>
  </si>
  <si>
    <t>durchschnittlicher Punktabstand</t>
  </si>
  <si>
    <t xml:space="preserve">* n muss kleiner Ndp+Nds sein
* Nd muss kleiner Ndp+Nds sein
* Ndh muss kleiner Ndp+Nds sein
</t>
  </si>
  <si>
    <t xml:space="preserve">    Anzahl der Standpunkte</t>
  </si>
  <si>
    <t>Kürzel</t>
  </si>
  <si>
    <t>Qualifikation/Beschreibung</t>
  </si>
  <si>
    <t>EP</t>
  </si>
  <si>
    <t>Messgehilfe</t>
  </si>
  <si>
    <t>Schreibkraft</t>
  </si>
  <si>
    <t>Geh.</t>
  </si>
  <si>
    <t>Techniker</t>
  </si>
  <si>
    <t>Tech.</t>
  </si>
  <si>
    <t>Ingenieur</t>
  </si>
  <si>
    <t>Ing.</t>
  </si>
  <si>
    <t>Ziviltechnikerleistung</t>
  </si>
  <si>
    <t>2-Mann-Partie inkl. Gerät</t>
  </si>
  <si>
    <t>1-Mann-Partie inkl. Gerät</t>
  </si>
  <si>
    <t>CAD-Auswertestunde</t>
  </si>
  <si>
    <t>CAD</t>
  </si>
  <si>
    <t>Einsatz</t>
  </si>
  <si>
    <t>Einsatzpauschale (20km An/Abfahrt)</t>
  </si>
  <si>
    <t>gesamt (€)</t>
  </si>
  <si>
    <t>Qual.</t>
  </si>
  <si>
    <t>Pos.</t>
  </si>
  <si>
    <t>Leistungsbeschreibung</t>
  </si>
  <si>
    <t>Std./Anz.</t>
  </si>
  <si>
    <t>maxzeile:</t>
  </si>
  <si>
    <t>Vorzeile: Achtung &gt; innehalb der folgenden Tabelle dürfen keine Leerzeilen eingefügt werden!</t>
  </si>
  <si>
    <t>Kontrolle:</t>
  </si>
  <si>
    <t xml:space="preserve">Innerhalb dieses Registers können Profile mit bis zu 3 verschiedenen Geländeklassen/Schwierigkeitsstufen kalkuliert werden.
</t>
  </si>
  <si>
    <r>
      <t>Profillänge l</t>
    </r>
    <r>
      <rPr>
        <vertAlign val="subscript"/>
        <sz val="10"/>
        <color theme="1"/>
        <rFont val="Calibri"/>
        <family val="2"/>
        <scheme val="minor"/>
      </rPr>
      <t>i</t>
    </r>
    <r>
      <rPr>
        <sz val="10"/>
        <color theme="1"/>
        <rFont val="Calibri"/>
        <family val="2"/>
        <scheme val="minor"/>
      </rPr>
      <t xml:space="preserve"> (gesamt in [m])</t>
    </r>
  </si>
  <si>
    <r>
      <t xml:space="preserve">Mit
</t>
    </r>
    <r>
      <rPr>
        <i/>
        <sz val="11"/>
        <color theme="1"/>
        <rFont val="Calibri"/>
        <family val="2"/>
        <scheme val="minor"/>
      </rPr>
      <t xml:space="preserve">Start &gt; Format &gt; Zeilenhöhe automatisch anpassen </t>
    </r>
    <r>
      <rPr>
        <sz val="11"/>
        <color theme="1"/>
        <rFont val="Calibri"/>
        <family val="2"/>
        <scheme val="minor"/>
      </rPr>
      <t xml:space="preserve">
können mehrzeilige Leistungsbeschreibungen formatiert werden</t>
    </r>
  </si>
  <si>
    <t>Sek.</t>
  </si>
  <si>
    <t>3-dimensionale Modelle (nur Höhe)</t>
  </si>
  <si>
    <t>Vollständigkeit Flugkosten</t>
  </si>
  <si>
    <t>Nebenkosten:</t>
  </si>
  <si>
    <t>Amtsgebühren:</t>
  </si>
  <si>
    <t>Zu/Abschlag:</t>
  </si>
  <si>
    <t>Beschreibung:</t>
  </si>
  <si>
    <t>3.1</t>
  </si>
  <si>
    <t>4.1</t>
  </si>
  <si>
    <t>4.2</t>
  </si>
  <si>
    <t>4.3</t>
  </si>
  <si>
    <t>4.4</t>
  </si>
  <si>
    <t>4.4.2</t>
  </si>
  <si>
    <t>4.4.3</t>
  </si>
  <si>
    <t>4.7.1</t>
  </si>
  <si>
    <t>4.7.2</t>
  </si>
  <si>
    <t>4.7.3</t>
  </si>
  <si>
    <t>4.5</t>
  </si>
  <si>
    <t>4.6</t>
  </si>
  <si>
    <t>4.7</t>
  </si>
  <si>
    <t>4.7.4</t>
  </si>
  <si>
    <t>4.8</t>
  </si>
  <si>
    <t>4.9</t>
  </si>
  <si>
    <t>4.10</t>
  </si>
  <si>
    <t>4.11</t>
  </si>
  <si>
    <t>4.12</t>
  </si>
  <si>
    <t>4.13</t>
  </si>
  <si>
    <t>4.14</t>
  </si>
  <si>
    <t>4.15</t>
  </si>
  <si>
    <t>5.1</t>
  </si>
  <si>
    <t>6.1</t>
  </si>
  <si>
    <t>6.2</t>
  </si>
  <si>
    <t>6.3</t>
  </si>
  <si>
    <t>3. KATASTERVERMESSUNG</t>
  </si>
  <si>
    <t>4.1 - 4.3 Netzmessung, Polygonzug, …</t>
  </si>
  <si>
    <t>4.4 Bestimm. von Detailpunkten</t>
  </si>
  <si>
    <t>4.6 Nivellement</t>
  </si>
  <si>
    <t>4.7 Geländeaufnahme</t>
  </si>
  <si>
    <t>4.9 Bestandspläne</t>
  </si>
  <si>
    <t>4.10 Profile</t>
  </si>
  <si>
    <t>4.11 Absteckung</t>
  </si>
  <si>
    <t>4.12 Achseinrechnung</t>
  </si>
  <si>
    <t>4.13 Photogrammetrie</t>
  </si>
  <si>
    <t>4.15 Signalisierung und Stabilisierung</t>
  </si>
  <si>
    <t>4.4.1,  Deformationsmessung Lage und Höhe</t>
  </si>
  <si>
    <t>4.4.3,  Zwangspunkte (in Lage und Höhe)</t>
  </si>
  <si>
    <t>4.4.3,  Zwangspunkte (nur Lage)</t>
  </si>
  <si>
    <t>4.4.3,  Zwangspunkte (nur Höhe)</t>
  </si>
  <si>
    <t>4.4.3,  Zwangspunkte  (in Lage und Höhe gemeinsam mit Geländeaufnahme)</t>
  </si>
  <si>
    <t>4.4.3,  Zwangspunkte  (nur Lage -  gemeinsam mit Geländeaufnahme)</t>
  </si>
  <si>
    <t>4.4.3,  Zwangspunkte  (nur Höhe - gemeinsam mit Geländeaufnahme)</t>
  </si>
  <si>
    <t>4.4.4,  Kontrollaufnahme mit Soll-Ist-Vergleich  (in Lage und Höhe)</t>
  </si>
  <si>
    <t>4.4.4,  Kontrollaufnahme mit Soll-Ist-Vergleich (nur Lage)</t>
  </si>
  <si>
    <t>4.4.4,  Kontrollaufnahme mit Soll-Ist-Vergleich (nur Höhe)</t>
  </si>
  <si>
    <t>1:1000 - 1:500 (4.7a)</t>
  </si>
  <si>
    <t>1:250 - 1:200 (4.7b)</t>
  </si>
  <si>
    <t>1:100 (zuschlag von 4.7b in %)</t>
  </si>
  <si>
    <t>1:100 (Zuschlag von 4.7b in %)</t>
  </si>
  <si>
    <t>LB_VG, Pos. 4.2, Einzelpunkteinschaltung</t>
  </si>
  <si>
    <t>LB_VG, Pos. 4.3, Kreisel-Stütz-Azimut</t>
  </si>
  <si>
    <t>LB_VG, Pos. 4.4.2,  Deformationsmessung Höhe (Setzungsmessung, Flächennivellement)</t>
  </si>
  <si>
    <t>LB_VG, Pos. 4.6,  Nivellement</t>
  </si>
  <si>
    <t>LB_VG, Pos. 4.7.1, Kombinierte Lage- und Höhenmessung - Geländeaufnahme</t>
  </si>
  <si>
    <t>LB_VG, Pos. 4.7.4, Umbildung einer Geländeaufnahme durch Maßstabsänderung</t>
  </si>
  <si>
    <t>LB_VG, Pos. 4.8, Nutzflächenermittlung</t>
  </si>
  <si>
    <t>LB_VG, Pos. 4.9, Herstellung von Baubestandsplänen</t>
  </si>
  <si>
    <t>LB_VG, Pos. 4.10, Herstellung von Profilen</t>
  </si>
  <si>
    <t>LB_VG, Pos. 4.11, Absteckungen</t>
  </si>
  <si>
    <t>LB_VG, Pos. 4.12, Achseinrechnung und Berechnung von Achszwischenpunkten</t>
  </si>
  <si>
    <t>LB_VG, Pos. 4.13, Photogrammetrie</t>
  </si>
  <si>
    <t>LB_VG, Pos. 4.15, Signalisierung und Stabilisierung</t>
  </si>
  <si>
    <t>LB_VG, Pos. 6.2,  Regieleistungen</t>
  </si>
  <si>
    <t>Überschriftszeile Druckbereich:</t>
  </si>
  <si>
    <t>Ergebniszeile Druckbereich</t>
  </si>
  <si>
    <t>Vollständigkeit</t>
  </si>
  <si>
    <t>Beratung</t>
  </si>
  <si>
    <t>Erhebungen bei Behörden und Ämtern</t>
  </si>
  <si>
    <t xml:space="preserve">Vertretung bei Behörden, Rechtsanwälten, Notar usw. </t>
  </si>
  <si>
    <t>Verfassen der Eingabe an eine Behörde</t>
  </si>
  <si>
    <t xml:space="preserve">Einholen von Informationen auf schriftlichem Wege, </t>
  </si>
  <si>
    <t>Einbringung ins und herunterladen aus dem Urkundenarchiv</t>
  </si>
  <si>
    <t>K1</t>
  </si>
  <si>
    <t>K2</t>
  </si>
  <si>
    <t>K3</t>
  </si>
  <si>
    <t>K4</t>
  </si>
  <si>
    <t>K5</t>
  </si>
  <si>
    <t>K6</t>
  </si>
  <si>
    <t>LB_VG, Pos. 6.1,  Kanzleihonorare</t>
  </si>
  <si>
    <t>€</t>
  </si>
  <si>
    <t>LB_VG, Pos. 6.3,  Nebenkosten</t>
  </si>
  <si>
    <t>4.4.1</t>
  </si>
  <si>
    <t>4.4.4</t>
  </si>
  <si>
    <t>Detailpunkte - Deformationsmessung</t>
  </si>
  <si>
    <t>Detailpunkte - Zwangspunkte</t>
  </si>
  <si>
    <t>Detailpunkte - Kontrollaufnahme (Soll-Ist-Vergleich)</t>
  </si>
  <si>
    <t>Nebenkosten in €</t>
  </si>
  <si>
    <t>2,5d-LH-Planes</t>
  </si>
  <si>
    <t>Amtsgebühren ohne Mwst.:</t>
  </si>
  <si>
    <t xml:space="preserve">    Schwierigkeitsstufe</t>
  </si>
  <si>
    <t>Fläche</t>
  </si>
  <si>
    <r>
      <t>Q</t>
    </r>
    <r>
      <rPr>
        <vertAlign val="subscript"/>
        <sz val="11"/>
        <color theme="1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>=</t>
    </r>
  </si>
  <si>
    <t>Auswertung nach Lage und Höhe</t>
  </si>
  <si>
    <t>Auswertung nur nach Lage</t>
  </si>
  <si>
    <t>Auswertung 3-dimensionaler Modelle</t>
  </si>
  <si>
    <r>
      <t>Q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=</t>
    </r>
  </si>
  <si>
    <r>
      <t>Q</t>
    </r>
    <r>
      <rPr>
        <vertAlign val="sub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=</t>
    </r>
  </si>
  <si>
    <t>Summe Q1, Q2, Q3</t>
  </si>
  <si>
    <r>
      <t>Q</t>
    </r>
    <r>
      <rPr>
        <vertAlign val="subscript"/>
        <sz val="11"/>
        <color theme="1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>:</t>
    </r>
  </si>
  <si>
    <r>
      <t>Q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:</t>
    </r>
  </si>
  <si>
    <r>
      <t>Q</t>
    </r>
    <r>
      <rPr>
        <vertAlign val="sub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:</t>
    </r>
  </si>
  <si>
    <t>% Abschlag</t>
  </si>
  <si>
    <t>Beschreibung Abschlag</t>
  </si>
  <si>
    <t>Programmversion:</t>
  </si>
  <si>
    <t>Dimension der Auswertung:</t>
  </si>
  <si>
    <t>H = (3 + 6,67 * L + 2,20 * Lz + 2,94 * Lm + 0,48 * F * f + 7,63 * B + 2,52 * Bz) * K * IS + N</t>
  </si>
  <si>
    <t>Polynomfaktoren (Spalte nach Flächengröße)</t>
  </si>
  <si>
    <t>Berechnungsformel</t>
  </si>
  <si>
    <t>H = F * (k * F + d) * E * IS * 0,40 + N</t>
  </si>
  <si>
    <t>H = F * (k * F + d) * E * IS * 0,30 + N</t>
  </si>
  <si>
    <t>Formel</t>
  </si>
  <si>
    <t>Summe</t>
  </si>
  <si>
    <t>H = g * f * L * d * IS + N</t>
  </si>
  <si>
    <t>H = [     (m * n) +      (v * E * n) ] * IS + N</t>
  </si>
  <si>
    <t>In den folgenden Formeln sind sämtliche Leistungen gemäß RVS 06.01.11, Pos. 3.1 bis 3.7 abgedeckt; Pos. 3.6 kann auch mit dem Standardleistungsverzeichnis RLVerm kalkuliert werden.</t>
  </si>
  <si>
    <t>Länge der Grenze im alten Stand [m]</t>
  </si>
  <si>
    <t>Anzahl der Grenzpunkte auf alten Grenzen</t>
  </si>
  <si>
    <t>Anzahl der Eigentümer</t>
  </si>
  <si>
    <t>Anzahl der zu vereinigenden Grundstücke</t>
  </si>
  <si>
    <t>Anzahl der Grundstücke im neuen Stand</t>
  </si>
  <si>
    <t>V</t>
  </si>
  <si>
    <t>Anzahl der Teilungsentwürfe</t>
  </si>
  <si>
    <t>Anzahl der Einreichungen</t>
  </si>
  <si>
    <r>
      <t>n</t>
    </r>
    <r>
      <rPr>
        <vertAlign val="subscript"/>
        <sz val="12"/>
        <rFont val="Times New Roman"/>
        <family val="1"/>
      </rPr>
      <t>1</t>
    </r>
  </si>
  <si>
    <r>
      <t>n</t>
    </r>
    <r>
      <rPr>
        <vertAlign val="subscript"/>
        <sz val="12"/>
        <rFont val="Times New Roman"/>
        <family val="1"/>
      </rPr>
      <t>2</t>
    </r>
  </si>
  <si>
    <r>
      <t>S</t>
    </r>
    <r>
      <rPr>
        <vertAlign val="subscript"/>
        <sz val="12"/>
        <rFont val="Times New Roman"/>
        <family val="1"/>
      </rPr>
      <t>1</t>
    </r>
  </si>
  <si>
    <r>
      <t>S</t>
    </r>
    <r>
      <rPr>
        <vertAlign val="subscript"/>
        <sz val="12"/>
        <rFont val="Times New Roman"/>
        <family val="1"/>
      </rPr>
      <t>2</t>
    </r>
  </si>
  <si>
    <r>
      <t>S</t>
    </r>
    <r>
      <rPr>
        <vertAlign val="subscript"/>
        <sz val="12"/>
        <rFont val="Times New Roman"/>
        <family val="1"/>
      </rPr>
      <t>3</t>
    </r>
  </si>
  <si>
    <r>
      <t>S</t>
    </r>
    <r>
      <rPr>
        <vertAlign val="subscript"/>
        <sz val="12"/>
        <rFont val="Times New Roman"/>
        <family val="1"/>
      </rPr>
      <t>4</t>
    </r>
  </si>
  <si>
    <r>
      <t>S</t>
    </r>
    <r>
      <rPr>
        <vertAlign val="subscript"/>
        <sz val="12"/>
        <rFont val="Times New Roman"/>
        <family val="1"/>
      </rPr>
      <t>5</t>
    </r>
  </si>
  <si>
    <r>
      <t>n</t>
    </r>
    <r>
      <rPr>
        <vertAlign val="subscript"/>
        <sz val="12"/>
        <rFont val="Times New Roman"/>
        <family val="1"/>
      </rPr>
      <t>3</t>
    </r>
  </si>
  <si>
    <r>
      <t>S</t>
    </r>
    <r>
      <rPr>
        <vertAlign val="subscript"/>
        <sz val="12"/>
        <rFont val="Times New Roman"/>
        <family val="1"/>
      </rPr>
      <t>6</t>
    </r>
  </si>
  <si>
    <r>
      <t>S</t>
    </r>
    <r>
      <rPr>
        <vertAlign val="subscript"/>
        <sz val="12"/>
        <rFont val="Times New Roman"/>
        <family val="1"/>
      </rPr>
      <t>7</t>
    </r>
  </si>
  <si>
    <r>
      <t>n</t>
    </r>
    <r>
      <rPr>
        <vertAlign val="subscript"/>
        <sz val="12"/>
        <rFont val="Times New Roman"/>
        <family val="1"/>
      </rPr>
      <t>4</t>
    </r>
  </si>
  <si>
    <r>
      <t>n</t>
    </r>
    <r>
      <rPr>
        <vertAlign val="subscript"/>
        <sz val="12"/>
        <rFont val="Times New Roman"/>
        <family val="1"/>
      </rPr>
      <t>5</t>
    </r>
  </si>
  <si>
    <r>
      <t>n</t>
    </r>
    <r>
      <rPr>
        <vertAlign val="subscript"/>
        <sz val="12"/>
        <rFont val="Times New Roman"/>
        <family val="1"/>
      </rPr>
      <t>6</t>
    </r>
  </si>
  <si>
    <t>[m]</t>
  </si>
  <si>
    <t>Geländeklasse und Schwierigkeitsstufe</t>
  </si>
  <si>
    <t>Aufnahme Naturbestand im Rahmen der Katastervermessung</t>
  </si>
  <si>
    <t>Grenzverhandlung</t>
  </si>
  <si>
    <t>Qualitätsverbesserungsplan</t>
  </si>
  <si>
    <t>Mappenberichtigung, Umwandlung</t>
  </si>
  <si>
    <t>Grundstücksvereinigung</t>
  </si>
  <si>
    <t>Plan für Grundstücksvereinigung erforderlich</t>
  </si>
  <si>
    <t>Grundteilung</t>
  </si>
  <si>
    <t>Durchschnittliche Größe der zur Gänze betroffenen Grundstücke</t>
  </si>
  <si>
    <r>
      <t>[m</t>
    </r>
    <r>
      <rPr>
        <vertAlign val="superscript"/>
        <sz val="12"/>
        <rFont val="Times New Roman"/>
        <family val="1"/>
      </rPr>
      <t>2</t>
    </r>
    <r>
      <rPr>
        <sz val="12"/>
        <rFont val="Times New Roman"/>
        <family val="1"/>
      </rPr>
      <t>]</t>
    </r>
  </si>
  <si>
    <r>
      <t>[€/m</t>
    </r>
    <r>
      <rPr>
        <vertAlign val="superscript"/>
        <sz val="12"/>
        <rFont val="Times New Roman"/>
        <family val="1"/>
      </rPr>
      <t>2</t>
    </r>
    <r>
      <rPr>
        <sz val="12"/>
        <rFont val="Times New Roman"/>
        <family val="1"/>
      </rPr>
      <t>]</t>
    </r>
  </si>
  <si>
    <t>MB</t>
  </si>
  <si>
    <t>Umw.</t>
  </si>
  <si>
    <t>N</t>
  </si>
  <si>
    <t>beides</t>
  </si>
  <si>
    <t>Kataster-Kategorie</t>
  </si>
  <si>
    <t>mittlere Qualität</t>
  </si>
  <si>
    <t>niedrige Qualität</t>
  </si>
  <si>
    <t>Kataster-Kategorie (Qualität der Grenzen)</t>
  </si>
  <si>
    <t>Verkehrswert der betroffenen Grundstücke</t>
  </si>
  <si>
    <r>
      <t>T</t>
    </r>
    <r>
      <rPr>
        <vertAlign val="subscript"/>
        <sz val="10"/>
        <color theme="1"/>
        <rFont val="Calibri"/>
        <family val="2"/>
        <scheme val="minor"/>
      </rPr>
      <t>1</t>
    </r>
    <r>
      <rPr>
        <sz val="10"/>
        <color theme="1"/>
        <rFont val="Calibri"/>
        <family val="2"/>
        <scheme val="minor"/>
      </rPr>
      <t xml:space="preserve"> = (1+L/400+n</t>
    </r>
    <r>
      <rPr>
        <vertAlign val="subscript"/>
        <sz val="10"/>
        <color theme="1"/>
        <rFont val="Calibri"/>
        <family val="2"/>
        <scheme val="minor"/>
      </rPr>
      <t>1</t>
    </r>
    <r>
      <rPr>
        <sz val="10"/>
        <color theme="1"/>
        <rFont val="Calibri"/>
        <family val="2"/>
        <scheme val="minor"/>
      </rPr>
      <t>/10+n</t>
    </r>
    <r>
      <rPr>
        <vertAlign val="subscript"/>
        <sz val="10"/>
        <color theme="1"/>
        <rFont val="Calibri"/>
        <family val="2"/>
        <scheme val="minor"/>
      </rPr>
      <t>2</t>
    </r>
    <r>
      <rPr>
        <sz val="10"/>
        <color theme="1"/>
        <rFont val="Calibri"/>
        <family val="2"/>
        <scheme val="minor"/>
      </rPr>
      <t>/20)*K*(1+n</t>
    </r>
    <r>
      <rPr>
        <vertAlign val="subscript"/>
        <sz val="10"/>
        <color theme="1"/>
        <rFont val="Calibri"/>
        <family val="2"/>
        <scheme val="minor"/>
      </rPr>
      <t>6</t>
    </r>
    <r>
      <rPr>
        <sz val="10"/>
        <color theme="1"/>
        <rFont val="Calibri"/>
        <family val="2"/>
        <scheme val="minor"/>
      </rPr>
      <t>/20)</t>
    </r>
  </si>
  <si>
    <r>
      <t>T</t>
    </r>
    <r>
      <rPr>
        <vertAlign val="subscript"/>
        <sz val="10"/>
        <color theme="1"/>
        <rFont val="Calibri"/>
        <family val="2"/>
        <scheme val="minor"/>
      </rPr>
      <t>2</t>
    </r>
    <r>
      <rPr>
        <sz val="10"/>
        <color theme="1"/>
        <rFont val="Calibri"/>
        <family val="2"/>
        <scheme val="minor"/>
      </rPr>
      <t xml:space="preserve"> = (0,5+L/200+n</t>
    </r>
    <r>
      <rPr>
        <vertAlign val="subscript"/>
        <sz val="10"/>
        <color theme="1"/>
        <rFont val="Calibri"/>
        <family val="2"/>
        <scheme val="minor"/>
      </rPr>
      <t>1</t>
    </r>
    <r>
      <rPr>
        <sz val="10"/>
        <color theme="1"/>
        <rFont val="Calibri"/>
        <family val="2"/>
        <scheme val="minor"/>
      </rPr>
      <t>/100)*K+n</t>
    </r>
    <r>
      <rPr>
        <vertAlign val="subscript"/>
        <sz val="10"/>
        <color theme="1"/>
        <rFont val="Calibri"/>
        <family val="2"/>
        <scheme val="minor"/>
      </rPr>
      <t>2</t>
    </r>
    <r>
      <rPr>
        <sz val="10"/>
        <color theme="1"/>
        <rFont val="Calibri"/>
        <family val="2"/>
        <scheme val="minor"/>
      </rPr>
      <t>*(0,1+0,15*S</t>
    </r>
    <r>
      <rPr>
        <vertAlign val="subscript"/>
        <sz val="10"/>
        <color theme="1"/>
        <rFont val="Calibri"/>
        <family val="2"/>
        <scheme val="minor"/>
      </rPr>
      <t>2</t>
    </r>
    <r>
      <rPr>
        <sz val="10"/>
        <color theme="1"/>
        <rFont val="Calibri"/>
        <family val="2"/>
        <scheme val="minor"/>
      </rPr>
      <t>)</t>
    </r>
  </si>
  <si>
    <r>
      <t>T</t>
    </r>
    <r>
      <rPr>
        <vertAlign val="subscript"/>
        <sz val="10"/>
        <color theme="1"/>
        <rFont val="Calibri"/>
        <family val="2"/>
        <scheme val="minor"/>
      </rPr>
      <t>3</t>
    </r>
    <r>
      <rPr>
        <sz val="10"/>
        <color theme="1"/>
        <rFont val="Calibri"/>
        <family val="2"/>
        <scheme val="minor"/>
      </rPr>
      <t xml:space="preserve"> = 0,5+L/400+n</t>
    </r>
    <r>
      <rPr>
        <vertAlign val="subscript"/>
        <sz val="10"/>
        <color theme="1"/>
        <rFont val="Calibri"/>
        <family val="2"/>
        <scheme val="minor"/>
      </rPr>
      <t>1</t>
    </r>
    <r>
      <rPr>
        <sz val="10"/>
        <color theme="1"/>
        <rFont val="Calibri"/>
        <family val="2"/>
        <scheme val="minor"/>
      </rPr>
      <t>/12+n</t>
    </r>
    <r>
      <rPr>
        <vertAlign val="subscript"/>
        <sz val="10"/>
        <color theme="1"/>
        <rFont val="Calibri"/>
        <family val="2"/>
        <scheme val="minor"/>
      </rPr>
      <t>2</t>
    </r>
    <r>
      <rPr>
        <sz val="10"/>
        <color theme="1"/>
        <rFont val="Calibri"/>
        <family val="2"/>
        <scheme val="minor"/>
      </rPr>
      <t>*(0,05+S</t>
    </r>
    <r>
      <rPr>
        <vertAlign val="subscript"/>
        <sz val="10"/>
        <color theme="1"/>
        <rFont val="Calibri"/>
        <family val="2"/>
        <scheme val="minor"/>
      </rPr>
      <t>2</t>
    </r>
    <r>
      <rPr>
        <sz val="10"/>
        <color theme="1"/>
        <rFont val="Calibri"/>
        <family val="2"/>
        <scheme val="minor"/>
      </rPr>
      <t>/2)*K*E*(1+0,3*S</t>
    </r>
    <r>
      <rPr>
        <vertAlign val="subscript"/>
        <sz val="10"/>
        <color theme="1"/>
        <rFont val="Calibri"/>
        <family val="2"/>
        <scheme val="minor"/>
      </rPr>
      <t>1</t>
    </r>
    <r>
      <rPr>
        <sz val="10"/>
        <color theme="1"/>
        <rFont val="Calibri"/>
        <family val="2"/>
        <scheme val="minor"/>
      </rPr>
      <t>)</t>
    </r>
  </si>
  <si>
    <r>
      <t>T</t>
    </r>
    <r>
      <rPr>
        <vertAlign val="subscript"/>
        <sz val="10"/>
        <color theme="1"/>
        <rFont val="Calibri"/>
        <family val="2"/>
        <scheme val="minor"/>
      </rPr>
      <t>4</t>
    </r>
    <r>
      <rPr>
        <sz val="10"/>
        <color theme="1"/>
        <rFont val="Calibri"/>
        <family val="2"/>
        <scheme val="minor"/>
      </rPr>
      <t xml:space="preserve"> = (L/200+n</t>
    </r>
    <r>
      <rPr>
        <vertAlign val="subscript"/>
        <sz val="10"/>
        <color theme="1"/>
        <rFont val="Calibri"/>
        <family val="2"/>
        <scheme val="minor"/>
      </rPr>
      <t>1</t>
    </r>
    <r>
      <rPr>
        <sz val="10"/>
        <color theme="1"/>
        <rFont val="Calibri"/>
        <family val="2"/>
        <scheme val="minor"/>
      </rPr>
      <t>/20+n</t>
    </r>
    <r>
      <rPr>
        <vertAlign val="subscript"/>
        <sz val="10"/>
        <color theme="1"/>
        <rFont val="Calibri"/>
        <family val="2"/>
        <scheme val="minor"/>
      </rPr>
      <t>2</t>
    </r>
    <r>
      <rPr>
        <sz val="10"/>
        <color theme="1"/>
        <rFont val="Calibri"/>
        <family val="2"/>
        <scheme val="minor"/>
      </rPr>
      <t>/20)*(S</t>
    </r>
    <r>
      <rPr>
        <vertAlign val="subscript"/>
        <sz val="10"/>
        <color theme="1"/>
        <rFont val="Calibri"/>
        <family val="2"/>
        <scheme val="minor"/>
      </rPr>
      <t>1</t>
    </r>
    <r>
      <rPr>
        <sz val="10"/>
        <color theme="1"/>
        <rFont val="Calibri"/>
        <family val="2"/>
        <scheme val="minor"/>
      </rPr>
      <t>+S</t>
    </r>
    <r>
      <rPr>
        <vertAlign val="subscript"/>
        <sz val="10"/>
        <color theme="1"/>
        <rFont val="Calibri"/>
        <family val="2"/>
        <scheme val="minor"/>
      </rPr>
      <t>3</t>
    </r>
    <r>
      <rPr>
        <sz val="10"/>
        <color theme="1"/>
        <rFont val="Calibri"/>
        <family val="2"/>
        <scheme val="minor"/>
      </rPr>
      <t>+S</t>
    </r>
    <r>
      <rPr>
        <vertAlign val="subscript"/>
        <sz val="10"/>
        <color theme="1"/>
        <rFont val="Calibri"/>
        <family val="2"/>
        <scheme val="minor"/>
      </rPr>
      <t>4</t>
    </r>
    <r>
      <rPr>
        <sz val="10"/>
        <color theme="1"/>
        <rFont val="Calibri"/>
        <family val="2"/>
        <scheme val="minor"/>
      </rPr>
      <t>+S</t>
    </r>
    <r>
      <rPr>
        <vertAlign val="subscript"/>
        <sz val="10"/>
        <color theme="1"/>
        <rFont val="Calibri"/>
        <family val="2"/>
        <scheme val="minor"/>
      </rPr>
      <t>5</t>
    </r>
    <r>
      <rPr>
        <sz val="10"/>
        <color theme="1"/>
        <rFont val="Calibri"/>
        <family val="2"/>
        <scheme val="minor"/>
      </rPr>
      <t>*S</t>
    </r>
    <r>
      <rPr>
        <vertAlign val="subscript"/>
        <sz val="10"/>
        <color theme="1"/>
        <rFont val="Calibri"/>
        <family val="2"/>
        <scheme val="minor"/>
      </rPr>
      <t>6</t>
    </r>
    <r>
      <rPr>
        <sz val="10"/>
        <color theme="1"/>
        <rFont val="Calibri"/>
        <family val="2"/>
        <scheme val="minor"/>
      </rPr>
      <t>)+(2*S</t>
    </r>
    <r>
      <rPr>
        <vertAlign val="subscript"/>
        <sz val="10"/>
        <color theme="1"/>
        <rFont val="Calibri"/>
        <family val="2"/>
        <scheme val="minor"/>
      </rPr>
      <t>7</t>
    </r>
    <r>
      <rPr>
        <sz val="10"/>
        <color theme="1"/>
        <rFont val="Calibri"/>
        <family val="2"/>
        <scheme val="minor"/>
      </rPr>
      <t>*WURZEL(n</t>
    </r>
    <r>
      <rPr>
        <vertAlign val="subscript"/>
        <sz val="10"/>
        <color theme="1"/>
        <rFont val="Calibri"/>
        <family val="2"/>
        <scheme val="minor"/>
      </rPr>
      <t>4</t>
    </r>
    <r>
      <rPr>
        <sz val="10"/>
        <color theme="1"/>
        <rFont val="Calibri"/>
        <family val="2"/>
        <scheme val="minor"/>
      </rPr>
      <t>)+WURZEL(n</t>
    </r>
    <r>
      <rPr>
        <vertAlign val="subscript"/>
        <sz val="10"/>
        <color theme="1"/>
        <rFont val="Calibri"/>
        <family val="2"/>
        <scheme val="minor"/>
      </rPr>
      <t>4</t>
    </r>
    <r>
      <rPr>
        <sz val="10"/>
        <color theme="1"/>
        <rFont val="Calibri"/>
        <family val="2"/>
        <scheme val="minor"/>
      </rPr>
      <t>*n</t>
    </r>
    <r>
      <rPr>
        <vertAlign val="subscript"/>
        <sz val="10"/>
        <color theme="1"/>
        <rFont val="Calibri"/>
        <family val="2"/>
        <scheme val="minor"/>
      </rPr>
      <t>5</t>
    </r>
    <r>
      <rPr>
        <sz val="10"/>
        <color theme="1"/>
        <rFont val="Calibri"/>
        <family val="2"/>
        <scheme val="minor"/>
      </rPr>
      <t>)/2</t>
    </r>
  </si>
  <si>
    <r>
      <t>T</t>
    </r>
    <r>
      <rPr>
        <vertAlign val="subscript"/>
        <sz val="10"/>
        <color theme="1"/>
        <rFont val="Calibri"/>
        <family val="2"/>
        <scheme val="minor"/>
      </rPr>
      <t xml:space="preserve">5 </t>
    </r>
    <r>
      <rPr>
        <sz val="10"/>
        <color theme="1"/>
        <rFont val="Calibri"/>
        <family val="2"/>
        <scheme val="minor"/>
      </rPr>
      <t>= n</t>
    </r>
    <r>
      <rPr>
        <vertAlign val="subscript"/>
        <sz val="10"/>
        <color theme="1"/>
        <rFont val="Calibri"/>
        <family val="2"/>
        <scheme val="minor"/>
      </rPr>
      <t>6</t>
    </r>
    <r>
      <rPr>
        <sz val="10"/>
        <color theme="1"/>
        <rFont val="Calibri"/>
        <family val="2"/>
        <scheme val="minor"/>
      </rPr>
      <t>+0,5*S</t>
    </r>
    <r>
      <rPr>
        <vertAlign val="subscript"/>
        <sz val="10"/>
        <color theme="1"/>
        <rFont val="Calibri"/>
        <family val="2"/>
        <scheme val="minor"/>
      </rPr>
      <t>2</t>
    </r>
  </si>
  <si>
    <r>
      <t>T</t>
    </r>
    <r>
      <rPr>
        <vertAlign val="subscript"/>
        <sz val="10"/>
        <color theme="1"/>
        <rFont val="Calibri"/>
        <family val="2"/>
        <scheme val="minor"/>
      </rPr>
      <t>6</t>
    </r>
    <r>
      <rPr>
        <sz val="10"/>
        <color theme="1"/>
        <rFont val="Calibri"/>
        <family val="2"/>
        <scheme val="minor"/>
      </rPr>
      <t xml:space="preserve"> = (0,5+n</t>
    </r>
    <r>
      <rPr>
        <vertAlign val="subscript"/>
        <sz val="10"/>
        <color theme="1"/>
        <rFont val="Calibri"/>
        <family val="2"/>
        <scheme val="minor"/>
      </rPr>
      <t>4</t>
    </r>
    <r>
      <rPr>
        <sz val="10"/>
        <color theme="1"/>
        <rFont val="Calibri"/>
        <family val="2"/>
        <scheme val="minor"/>
      </rPr>
      <t>/2)*S</t>
    </r>
    <r>
      <rPr>
        <vertAlign val="subscript"/>
        <sz val="10"/>
        <color theme="1"/>
        <rFont val="Calibri"/>
        <family val="2"/>
        <scheme val="minor"/>
      </rPr>
      <t>7</t>
    </r>
    <r>
      <rPr>
        <sz val="10"/>
        <color theme="1"/>
        <rFont val="Calibri"/>
        <family val="2"/>
        <scheme val="minor"/>
      </rPr>
      <t>*(1+F/1000)*E</t>
    </r>
  </si>
  <si>
    <r>
      <t>T</t>
    </r>
    <r>
      <rPr>
        <vertAlign val="subscript"/>
        <sz val="11"/>
        <color theme="0" tint="-0.249977111117893"/>
        <rFont val="Calibri"/>
        <family val="2"/>
        <scheme val="minor"/>
      </rPr>
      <t>1</t>
    </r>
  </si>
  <si>
    <r>
      <t>T</t>
    </r>
    <r>
      <rPr>
        <vertAlign val="subscript"/>
        <sz val="11"/>
        <color theme="0" tint="-0.249977111117893"/>
        <rFont val="Calibri"/>
        <family val="2"/>
        <scheme val="minor"/>
      </rPr>
      <t>1</t>
    </r>
    <r>
      <rPr>
        <sz val="11"/>
        <color theme="0" tint="-0.249977111117893"/>
        <rFont val="Calibri"/>
        <family val="2"/>
        <scheme val="minor"/>
      </rPr>
      <t xml:space="preserve"> = (1+L/400+n</t>
    </r>
    <r>
      <rPr>
        <vertAlign val="subscript"/>
        <sz val="11"/>
        <color theme="0" tint="-0.249977111117893"/>
        <rFont val="Calibri"/>
        <family val="2"/>
        <scheme val="minor"/>
      </rPr>
      <t>1</t>
    </r>
    <r>
      <rPr>
        <sz val="11"/>
        <color theme="0" tint="-0.249977111117893"/>
        <rFont val="Calibri"/>
        <family val="2"/>
        <scheme val="minor"/>
      </rPr>
      <t>/10+n</t>
    </r>
    <r>
      <rPr>
        <vertAlign val="subscript"/>
        <sz val="11"/>
        <color theme="0" tint="-0.249977111117893"/>
        <rFont val="Calibri"/>
        <family val="2"/>
        <scheme val="minor"/>
      </rPr>
      <t>2</t>
    </r>
    <r>
      <rPr>
        <sz val="11"/>
        <color theme="0" tint="-0.249977111117893"/>
        <rFont val="Calibri"/>
        <family val="2"/>
        <scheme val="minor"/>
      </rPr>
      <t>/20)*K*(1+n</t>
    </r>
    <r>
      <rPr>
        <vertAlign val="subscript"/>
        <sz val="11"/>
        <color theme="0" tint="-0.249977111117893"/>
        <rFont val="Calibri"/>
        <family val="2"/>
        <scheme val="minor"/>
      </rPr>
      <t>6</t>
    </r>
    <r>
      <rPr>
        <sz val="11"/>
        <color theme="0" tint="-0.249977111117893"/>
        <rFont val="Calibri"/>
        <family val="2"/>
        <scheme val="minor"/>
      </rPr>
      <t>/20)</t>
    </r>
  </si>
  <si>
    <r>
      <t>n</t>
    </r>
    <r>
      <rPr>
        <vertAlign val="subscript"/>
        <sz val="12"/>
        <color theme="0" tint="-0.249977111117893"/>
        <rFont val="Times New Roman"/>
        <family val="1"/>
      </rPr>
      <t>1</t>
    </r>
  </si>
  <si>
    <r>
      <t>T</t>
    </r>
    <r>
      <rPr>
        <vertAlign val="subscript"/>
        <sz val="11"/>
        <color theme="0" tint="-0.249977111117893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/>
    </r>
  </si>
  <si>
    <r>
      <t>T</t>
    </r>
    <r>
      <rPr>
        <vertAlign val="subscript"/>
        <sz val="11"/>
        <color theme="0" tint="-0.249977111117893"/>
        <rFont val="Calibri"/>
        <family val="2"/>
        <scheme val="minor"/>
      </rPr>
      <t>2</t>
    </r>
    <r>
      <rPr>
        <sz val="11"/>
        <color theme="0" tint="-0.249977111117893"/>
        <rFont val="Calibri"/>
        <family val="2"/>
        <scheme val="minor"/>
      </rPr>
      <t xml:space="preserve"> = (0,5+L/200+n</t>
    </r>
    <r>
      <rPr>
        <vertAlign val="subscript"/>
        <sz val="11"/>
        <color theme="0" tint="-0.249977111117893"/>
        <rFont val="Calibri"/>
        <family val="2"/>
        <scheme val="minor"/>
      </rPr>
      <t>1</t>
    </r>
    <r>
      <rPr>
        <sz val="11"/>
        <color theme="0" tint="-0.249977111117893"/>
        <rFont val="Calibri"/>
        <family val="2"/>
        <scheme val="minor"/>
      </rPr>
      <t>/100)*K+n</t>
    </r>
    <r>
      <rPr>
        <vertAlign val="subscript"/>
        <sz val="11"/>
        <color theme="0" tint="-0.249977111117893"/>
        <rFont val="Calibri"/>
        <family val="2"/>
        <scheme val="minor"/>
      </rPr>
      <t>2</t>
    </r>
    <r>
      <rPr>
        <sz val="11"/>
        <color theme="0" tint="-0.249977111117893"/>
        <rFont val="Calibri"/>
        <family val="2"/>
        <scheme val="minor"/>
      </rPr>
      <t>*(0,1+0,15*S</t>
    </r>
    <r>
      <rPr>
        <vertAlign val="subscript"/>
        <sz val="11"/>
        <color theme="0" tint="-0.249977111117893"/>
        <rFont val="Calibri"/>
        <family val="2"/>
        <scheme val="minor"/>
      </rPr>
      <t>2</t>
    </r>
    <r>
      <rPr>
        <sz val="11"/>
        <color theme="0" tint="-0.249977111117893"/>
        <rFont val="Calibri"/>
        <family val="2"/>
        <scheme val="minor"/>
      </rPr>
      <t>)</t>
    </r>
  </si>
  <si>
    <r>
      <t>n</t>
    </r>
    <r>
      <rPr>
        <vertAlign val="subscript"/>
        <sz val="12"/>
        <color theme="0" tint="-0.249977111117893"/>
        <rFont val="Times New Roman"/>
        <family val="1"/>
      </rPr>
      <t>2</t>
    </r>
  </si>
  <si>
    <r>
      <t>T</t>
    </r>
    <r>
      <rPr>
        <vertAlign val="subscript"/>
        <sz val="11"/>
        <color theme="0" tint="-0.249977111117893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/>
    </r>
  </si>
  <si>
    <r>
      <t>T</t>
    </r>
    <r>
      <rPr>
        <vertAlign val="subscript"/>
        <sz val="11"/>
        <color theme="0" tint="-0.249977111117893"/>
        <rFont val="Calibri"/>
        <family val="2"/>
        <scheme val="minor"/>
      </rPr>
      <t>3</t>
    </r>
    <r>
      <rPr>
        <sz val="11"/>
        <color theme="0" tint="-0.249977111117893"/>
        <rFont val="Calibri"/>
        <family val="2"/>
        <scheme val="minor"/>
      </rPr>
      <t xml:space="preserve"> = (0,5+L/400+n</t>
    </r>
    <r>
      <rPr>
        <vertAlign val="subscript"/>
        <sz val="11"/>
        <color theme="0" tint="-0.249977111117893"/>
        <rFont val="Calibri"/>
        <family val="2"/>
        <scheme val="minor"/>
      </rPr>
      <t>1</t>
    </r>
    <r>
      <rPr>
        <sz val="11"/>
        <color theme="0" tint="-0.249977111117893"/>
        <rFont val="Calibri"/>
        <family val="2"/>
        <scheme val="minor"/>
      </rPr>
      <t>/12+n</t>
    </r>
    <r>
      <rPr>
        <vertAlign val="subscript"/>
        <sz val="11"/>
        <color theme="0" tint="-0.249977111117893"/>
        <rFont val="Calibri"/>
        <family val="2"/>
        <scheme val="minor"/>
      </rPr>
      <t>2</t>
    </r>
    <r>
      <rPr>
        <sz val="11"/>
        <color theme="0" tint="-0.249977111117893"/>
        <rFont val="Calibri"/>
        <family val="2"/>
        <scheme val="minor"/>
      </rPr>
      <t>*(0,05+S</t>
    </r>
    <r>
      <rPr>
        <vertAlign val="subscript"/>
        <sz val="11"/>
        <color theme="0" tint="-0.249977111117893"/>
        <rFont val="Calibri"/>
        <family val="2"/>
        <scheme val="minor"/>
      </rPr>
      <t>2</t>
    </r>
    <r>
      <rPr>
        <sz val="11"/>
        <color theme="0" tint="-0.249977111117893"/>
        <rFont val="Calibri"/>
        <family val="2"/>
        <scheme val="minor"/>
      </rPr>
      <t>/2))*K*E*(1+0,3*S</t>
    </r>
    <r>
      <rPr>
        <vertAlign val="subscript"/>
        <sz val="11"/>
        <color theme="0" tint="-0.249977111117893"/>
        <rFont val="Calibri"/>
        <family val="2"/>
        <scheme val="minor"/>
      </rPr>
      <t>1</t>
    </r>
    <r>
      <rPr>
        <sz val="11"/>
        <color theme="0" tint="-0.249977111117893"/>
        <rFont val="Calibri"/>
        <family val="2"/>
        <scheme val="minor"/>
      </rPr>
      <t>)</t>
    </r>
  </si>
  <si>
    <r>
      <t>T</t>
    </r>
    <r>
      <rPr>
        <vertAlign val="subscript"/>
        <sz val="11"/>
        <color theme="0" tint="-0.249977111117893"/>
        <rFont val="Calibri"/>
        <family val="2"/>
        <scheme val="minor"/>
      </rPr>
      <t>4</t>
    </r>
    <r>
      <rPr>
        <sz val="11"/>
        <color theme="1"/>
        <rFont val="Calibri"/>
        <family val="2"/>
        <scheme val="minor"/>
      </rPr>
      <t/>
    </r>
  </si>
  <si>
    <r>
      <t>T</t>
    </r>
    <r>
      <rPr>
        <vertAlign val="subscript"/>
        <sz val="11"/>
        <color theme="0" tint="-0.249977111117893"/>
        <rFont val="Calibri"/>
        <family val="2"/>
        <scheme val="minor"/>
      </rPr>
      <t>5</t>
    </r>
    <r>
      <rPr>
        <sz val="11"/>
        <color theme="1"/>
        <rFont val="Calibri"/>
        <family val="2"/>
        <scheme val="minor"/>
      </rPr>
      <t/>
    </r>
  </si>
  <si>
    <r>
      <t>T</t>
    </r>
    <r>
      <rPr>
        <vertAlign val="subscript"/>
        <sz val="11"/>
        <color theme="0" tint="-0.249977111117893"/>
        <rFont val="Calibri"/>
        <family val="2"/>
        <scheme val="minor"/>
      </rPr>
      <t xml:space="preserve">5 </t>
    </r>
    <r>
      <rPr>
        <sz val="11"/>
        <color theme="0" tint="-0.249977111117893"/>
        <rFont val="Calibri"/>
        <family val="2"/>
        <scheme val="minor"/>
      </rPr>
      <t>= n</t>
    </r>
    <r>
      <rPr>
        <vertAlign val="subscript"/>
        <sz val="11"/>
        <color theme="0" tint="-0.249977111117893"/>
        <rFont val="Calibri"/>
        <family val="2"/>
        <scheme val="minor"/>
      </rPr>
      <t>6</t>
    </r>
    <r>
      <rPr>
        <sz val="11"/>
        <color theme="0" tint="-0.249977111117893"/>
        <rFont val="Calibri"/>
        <family val="2"/>
        <scheme val="minor"/>
      </rPr>
      <t>+0,5*S</t>
    </r>
    <r>
      <rPr>
        <vertAlign val="subscript"/>
        <sz val="11"/>
        <color theme="0" tint="-0.249977111117893"/>
        <rFont val="Calibri"/>
        <family val="2"/>
        <scheme val="minor"/>
      </rPr>
      <t>2</t>
    </r>
  </si>
  <si>
    <r>
      <t>S</t>
    </r>
    <r>
      <rPr>
        <vertAlign val="subscript"/>
        <sz val="12"/>
        <color theme="0" tint="-0.249977111117893"/>
        <rFont val="Times New Roman"/>
        <family val="1"/>
      </rPr>
      <t>1</t>
    </r>
  </si>
  <si>
    <r>
      <t>T</t>
    </r>
    <r>
      <rPr>
        <vertAlign val="subscript"/>
        <sz val="11"/>
        <color theme="0" tint="-0.249977111117893"/>
        <rFont val="Calibri"/>
        <family val="2"/>
        <scheme val="minor"/>
      </rPr>
      <t>6</t>
    </r>
    <r>
      <rPr>
        <sz val="11"/>
        <color theme="1"/>
        <rFont val="Calibri"/>
        <family val="2"/>
        <scheme val="minor"/>
      </rPr>
      <t/>
    </r>
  </si>
  <si>
    <r>
      <t>T</t>
    </r>
    <r>
      <rPr>
        <vertAlign val="subscript"/>
        <sz val="11"/>
        <color theme="0" tint="-0.249977111117893"/>
        <rFont val="Calibri"/>
        <family val="2"/>
        <scheme val="minor"/>
      </rPr>
      <t>6</t>
    </r>
    <r>
      <rPr>
        <sz val="11"/>
        <color theme="0" tint="-0.249977111117893"/>
        <rFont val="Calibri"/>
        <family val="2"/>
        <scheme val="minor"/>
      </rPr>
      <t xml:space="preserve"> = (0,5+n</t>
    </r>
    <r>
      <rPr>
        <vertAlign val="subscript"/>
        <sz val="11"/>
        <color theme="0" tint="-0.249977111117893"/>
        <rFont val="Calibri"/>
        <family val="2"/>
        <scheme val="minor"/>
      </rPr>
      <t>4</t>
    </r>
    <r>
      <rPr>
        <sz val="11"/>
        <color theme="0" tint="-0.249977111117893"/>
        <rFont val="Calibri"/>
        <family val="2"/>
        <scheme val="minor"/>
      </rPr>
      <t>/2)*S</t>
    </r>
    <r>
      <rPr>
        <vertAlign val="subscript"/>
        <sz val="11"/>
        <color theme="0" tint="-0.249977111117893"/>
        <rFont val="Calibri"/>
        <family val="2"/>
        <scheme val="minor"/>
      </rPr>
      <t>7</t>
    </r>
    <r>
      <rPr>
        <sz val="11"/>
        <color theme="0" tint="-0.249977111117893"/>
        <rFont val="Calibri"/>
        <family val="2"/>
        <scheme val="minor"/>
      </rPr>
      <t>*(1+F/1000)*E</t>
    </r>
  </si>
  <si>
    <r>
      <t>S</t>
    </r>
    <r>
      <rPr>
        <vertAlign val="subscript"/>
        <sz val="12"/>
        <color theme="0" tint="-0.249977111117893"/>
        <rFont val="Times New Roman"/>
        <family val="1"/>
      </rPr>
      <t>2</t>
    </r>
  </si>
  <si>
    <r>
      <t>S</t>
    </r>
    <r>
      <rPr>
        <vertAlign val="subscript"/>
        <sz val="12"/>
        <color theme="0" tint="-0.249977111117893"/>
        <rFont val="Times New Roman"/>
        <family val="1"/>
      </rPr>
      <t>3</t>
    </r>
  </si>
  <si>
    <r>
      <t>S</t>
    </r>
    <r>
      <rPr>
        <vertAlign val="subscript"/>
        <sz val="12"/>
        <color theme="0" tint="-0.249977111117893"/>
        <rFont val="Times New Roman"/>
        <family val="1"/>
      </rPr>
      <t>4</t>
    </r>
  </si>
  <si>
    <r>
      <t>S</t>
    </r>
    <r>
      <rPr>
        <vertAlign val="subscript"/>
        <sz val="12"/>
        <color theme="0" tint="-0.249977111117893"/>
        <rFont val="Times New Roman"/>
        <family val="1"/>
      </rPr>
      <t>5</t>
    </r>
  </si>
  <si>
    <r>
      <t>n</t>
    </r>
    <r>
      <rPr>
        <vertAlign val="subscript"/>
        <sz val="12"/>
        <color theme="0" tint="-0.249977111117893"/>
        <rFont val="Times New Roman"/>
        <family val="1"/>
      </rPr>
      <t>3</t>
    </r>
  </si>
  <si>
    <r>
      <t>S</t>
    </r>
    <r>
      <rPr>
        <vertAlign val="subscript"/>
        <sz val="12"/>
        <color theme="0" tint="-0.249977111117893"/>
        <rFont val="Times New Roman"/>
        <family val="1"/>
      </rPr>
      <t>6</t>
    </r>
  </si>
  <si>
    <r>
      <t>S</t>
    </r>
    <r>
      <rPr>
        <vertAlign val="subscript"/>
        <sz val="12"/>
        <color theme="0" tint="-0.249977111117893"/>
        <rFont val="Times New Roman"/>
        <family val="1"/>
      </rPr>
      <t>7</t>
    </r>
  </si>
  <si>
    <r>
      <t>n</t>
    </r>
    <r>
      <rPr>
        <vertAlign val="subscript"/>
        <sz val="12"/>
        <color theme="0" tint="-0.249977111117893"/>
        <rFont val="Times New Roman"/>
        <family val="1"/>
      </rPr>
      <t>4</t>
    </r>
  </si>
  <si>
    <r>
      <t>n</t>
    </r>
    <r>
      <rPr>
        <vertAlign val="subscript"/>
        <sz val="12"/>
        <color theme="0" tint="-0.249977111117893"/>
        <rFont val="Times New Roman"/>
        <family val="1"/>
      </rPr>
      <t>5</t>
    </r>
  </si>
  <si>
    <r>
      <t>n</t>
    </r>
    <r>
      <rPr>
        <vertAlign val="subscript"/>
        <sz val="12"/>
        <color theme="0" tint="-0.249977111117893"/>
        <rFont val="Times New Roman"/>
        <family val="1"/>
      </rPr>
      <t>6</t>
    </r>
  </si>
  <si>
    <t>hohe Qualität</t>
  </si>
  <si>
    <r>
      <t>H =  (T</t>
    </r>
    <r>
      <rPr>
        <vertAlign val="subscript"/>
        <sz val="12"/>
        <rFont val="Calibri"/>
        <family val="2"/>
        <scheme val="minor"/>
      </rPr>
      <t>1</t>
    </r>
    <r>
      <rPr>
        <sz val="11"/>
        <rFont val="Calibri"/>
        <family val="2"/>
        <scheme val="minor"/>
      </rPr>
      <t xml:space="preserve"> + </t>
    </r>
    <r>
      <rPr>
        <sz val="12"/>
        <rFont val="Calibri"/>
        <family val="2"/>
        <scheme val="minor"/>
      </rPr>
      <t>T</t>
    </r>
    <r>
      <rPr>
        <vertAlign val="subscript"/>
        <sz val="12"/>
        <rFont val="Calibri"/>
        <family val="2"/>
        <scheme val="minor"/>
      </rPr>
      <t>2</t>
    </r>
    <r>
      <rPr>
        <sz val="11"/>
        <rFont val="Calibri"/>
        <family val="2"/>
        <scheme val="minor"/>
      </rPr>
      <t xml:space="preserve"> +</t>
    </r>
    <r>
      <rPr>
        <sz val="12"/>
        <rFont val="Calibri"/>
        <family val="2"/>
        <scheme val="minor"/>
      </rPr>
      <t xml:space="preserve"> T</t>
    </r>
    <r>
      <rPr>
        <vertAlign val="subscript"/>
        <sz val="12"/>
        <rFont val="Calibri"/>
        <family val="2"/>
        <scheme val="minor"/>
      </rPr>
      <t>3</t>
    </r>
    <r>
      <rPr>
        <sz val="11"/>
        <rFont val="Calibri"/>
        <family val="2"/>
        <scheme val="minor"/>
      </rPr>
      <t xml:space="preserve"> +</t>
    </r>
    <r>
      <rPr>
        <sz val="12"/>
        <rFont val="Calibri"/>
        <family val="2"/>
        <scheme val="minor"/>
      </rPr>
      <t xml:space="preserve"> T</t>
    </r>
    <r>
      <rPr>
        <vertAlign val="subscript"/>
        <sz val="12"/>
        <rFont val="Calibri"/>
        <family val="2"/>
        <scheme val="minor"/>
      </rPr>
      <t>4</t>
    </r>
    <r>
      <rPr>
        <sz val="11"/>
        <rFont val="Calibri"/>
        <family val="2"/>
        <scheme val="minor"/>
      </rPr>
      <t xml:space="preserve"> +</t>
    </r>
    <r>
      <rPr>
        <sz val="12"/>
        <rFont val="Calibri"/>
        <family val="2"/>
        <scheme val="minor"/>
      </rPr>
      <t xml:space="preserve"> T</t>
    </r>
    <r>
      <rPr>
        <vertAlign val="subscript"/>
        <sz val="12"/>
        <rFont val="Calibri"/>
        <family val="2"/>
        <scheme val="minor"/>
      </rPr>
      <t>5</t>
    </r>
    <r>
      <rPr>
        <sz val="11"/>
        <rFont val="Calibri"/>
        <family val="2"/>
        <scheme val="minor"/>
      </rPr>
      <t>+</t>
    </r>
    <r>
      <rPr>
        <sz val="12"/>
        <rFont val="Calibri"/>
        <family val="2"/>
        <scheme val="minor"/>
      </rPr>
      <t xml:space="preserve"> T</t>
    </r>
    <r>
      <rPr>
        <vertAlign val="subscript"/>
        <sz val="12"/>
        <rFont val="Calibri"/>
        <family val="2"/>
        <scheme val="minor"/>
      </rPr>
      <t>6</t>
    </r>
    <r>
      <rPr>
        <sz val="12"/>
        <rFont val="Calibri"/>
        <family val="2"/>
        <scheme val="minor"/>
      </rPr>
      <t>) * IS + N</t>
    </r>
    <r>
      <rPr>
        <vertAlign val="subscript"/>
        <sz val="12"/>
        <rFont val="Calibri"/>
        <family val="2"/>
        <scheme val="minor"/>
      </rPr>
      <t>1</t>
    </r>
    <r>
      <rPr>
        <sz val="12"/>
        <rFont val="Calibri"/>
        <family val="2"/>
        <scheme val="minor"/>
      </rPr>
      <t xml:space="preserve"> + N</t>
    </r>
    <r>
      <rPr>
        <vertAlign val="subscript"/>
        <sz val="12"/>
        <rFont val="Calibri"/>
        <family val="2"/>
        <scheme val="minor"/>
      </rPr>
      <t>2</t>
    </r>
  </si>
  <si>
    <r>
      <t>Verkehrswert der betroffenen Grundstücke [€/m</t>
    </r>
    <r>
      <rPr>
        <vertAlign val="superscript"/>
        <sz val="10"/>
        <rFont val="Calibri"/>
        <family val="2"/>
        <scheme val="minor"/>
      </rPr>
      <t>2</t>
    </r>
    <r>
      <rPr>
        <sz val="10"/>
        <rFont val="Calibri"/>
        <family val="2"/>
        <scheme val="minor"/>
      </rPr>
      <t>]</t>
    </r>
  </si>
  <si>
    <r>
      <t>Durchschnittliche Größe der zur Gänze betroffenen Grundstücke [m</t>
    </r>
    <r>
      <rPr>
        <vertAlign val="superscript"/>
        <sz val="10"/>
        <rFont val="Calibri"/>
        <family val="2"/>
        <scheme val="minor"/>
      </rPr>
      <t>2</t>
    </r>
    <r>
      <rPr>
        <sz val="10"/>
        <rFont val="Calibri"/>
        <family val="2"/>
        <scheme val="minor"/>
      </rPr>
      <t>]</t>
    </r>
  </si>
  <si>
    <r>
      <t xml:space="preserve"> +WURZEL(n</t>
    </r>
    <r>
      <rPr>
        <vertAlign val="subscript"/>
        <sz val="10"/>
        <color theme="1"/>
        <rFont val="Calibri"/>
        <family val="2"/>
        <scheme val="minor"/>
      </rPr>
      <t>3</t>
    </r>
    <r>
      <rPr>
        <sz val="10"/>
        <color theme="1"/>
        <rFont val="Calibri"/>
        <family val="2"/>
        <scheme val="minor"/>
      </rPr>
      <t>)*S</t>
    </r>
    <r>
      <rPr>
        <vertAlign val="subscript"/>
        <sz val="10"/>
        <color theme="1"/>
        <rFont val="Calibri"/>
        <family val="2"/>
        <scheme val="minor"/>
      </rPr>
      <t>5</t>
    </r>
    <r>
      <rPr>
        <sz val="10"/>
        <color theme="1"/>
        <rFont val="Calibri"/>
        <family val="2"/>
        <scheme val="minor"/>
      </rPr>
      <t>*(1+S</t>
    </r>
    <r>
      <rPr>
        <vertAlign val="subscript"/>
        <sz val="10"/>
        <color theme="1"/>
        <rFont val="Calibri"/>
        <family val="2"/>
        <scheme val="minor"/>
      </rPr>
      <t>6</t>
    </r>
    <r>
      <rPr>
        <sz val="10"/>
        <color theme="1"/>
        <rFont val="Calibri"/>
        <family val="2"/>
        <scheme val="minor"/>
      </rPr>
      <t>/2)*(1+WURZEL(F*V)/100)</t>
    </r>
  </si>
  <si>
    <r>
      <t>T</t>
    </r>
    <r>
      <rPr>
        <vertAlign val="subscript"/>
        <sz val="11"/>
        <color theme="0" tint="-0.249977111117893"/>
        <rFont val="Calibri"/>
        <family val="2"/>
        <scheme val="minor"/>
      </rPr>
      <t>4</t>
    </r>
    <r>
      <rPr>
        <sz val="11"/>
        <color theme="0" tint="-0.249977111117893"/>
        <rFont val="Calibri"/>
        <family val="2"/>
        <scheme val="minor"/>
      </rPr>
      <t xml:space="preserve"> = (L/200+n1/20+n2/20)*(S1+S3+S4+S5*S6)+(2*S7*WURZEL(n4)+WURZEL(n4*n5)/2+WURZEL(n3)*S5*(1+S6/2))*(1+WURZEL(F*V)/100)</t>
    </r>
  </si>
  <si>
    <t>Aufschlag für höherwertiges Instrument</t>
  </si>
  <si>
    <t>Instr/CAD</t>
  </si>
  <si>
    <t>Instrument (Messgerät) oder CAD-Ausrüstung</t>
  </si>
  <si>
    <t>Instr+</t>
  </si>
  <si>
    <t>1MP</t>
  </si>
  <si>
    <t>2MP</t>
  </si>
  <si>
    <t>ZT</t>
  </si>
  <si>
    <t>ohne Mwst.</t>
  </si>
  <si>
    <t>Gebühren</t>
  </si>
  <si>
    <t>individuelle Nummer</t>
  </si>
  <si>
    <t>indiv.</t>
  </si>
  <si>
    <t>Num.</t>
  </si>
  <si>
    <t>alle Positionen anzeigen</t>
  </si>
  <si>
    <t>Einsätze:</t>
  </si>
  <si>
    <t>Zu-/Abschlag in %:</t>
  </si>
  <si>
    <t>Achslänge
[km]</t>
  </si>
  <si>
    <t>Helm</t>
  </si>
  <si>
    <t>0-60 Züge/Tag</t>
  </si>
  <si>
    <t>61-120 Züge/Tag</t>
  </si>
  <si>
    <t>T e i l b e r e i c h e</t>
  </si>
  <si>
    <t>121-220 Züge/Tag</t>
  </si>
  <si>
    <t>221-300 Züge/Tag</t>
  </si>
  <si>
    <t>über 300 Züge/Tag</t>
  </si>
  <si>
    <t>Anzahl der Layer</t>
  </si>
  <si>
    <t>Fläche [ha]</t>
  </si>
  <si>
    <t>Länge [km]</t>
  </si>
  <si>
    <t>Bereich</t>
  </si>
  <si>
    <t>Höhenlinien</t>
  </si>
  <si>
    <t>Höhenk. frei</t>
  </si>
  <si>
    <t>Polygozug</t>
  </si>
  <si>
    <t>Detailp.</t>
  </si>
  <si>
    <t>Ream:</t>
  </si>
  <si>
    <t>VerkZuschl.</t>
  </si>
  <si>
    <t>Gesamt</t>
  </si>
  <si>
    <t>Zuschlag Polygonzug</t>
  </si>
  <si>
    <t>Höhenkoten freistellen</t>
  </si>
  <si>
    <t>Detailpunkte</t>
  </si>
  <si>
    <t>Reambulierungsabschlag [%]</t>
  </si>
  <si>
    <t>Summen:</t>
  </si>
  <si>
    <t>Verkehrszuschlag</t>
  </si>
  <si>
    <t>Gesamt:</t>
  </si>
  <si>
    <t>Ab-/Zuschlag in %</t>
  </si>
  <si>
    <t>Teilbereich</t>
  </si>
  <si>
    <t>gesamt</t>
  </si>
  <si>
    <t>Streifenfaktor</t>
  </si>
  <si>
    <t>Zwischensumme [€]</t>
  </si>
  <si>
    <t>Abschlag [€]</t>
  </si>
  <si>
    <t>Kosten (€5,4355 * IS / km)</t>
  </si>
  <si>
    <t>Kosten (€0,41 * IS / Pkt)</t>
  </si>
  <si>
    <t>Reambulierungsabschlag</t>
  </si>
  <si>
    <t>Verkehrszuschlag [%]</t>
  </si>
  <si>
    <t>(Anzahl der Züge pro Tag)</t>
  </si>
  <si>
    <t>Kosten [€]</t>
  </si>
  <si>
    <t>Aufnahmelänge [km]:</t>
  </si>
  <si>
    <t>M=1:1000</t>
  </si>
  <si>
    <t>Anzahl der Grundstücke (GS):</t>
  </si>
  <si>
    <t>M=1:500</t>
  </si>
  <si>
    <t>Anzahl der Punkte mit Koord. (P):</t>
  </si>
  <si>
    <t>M=1:200/250</t>
  </si>
  <si>
    <t>Anzahl der Transformationen:</t>
  </si>
  <si>
    <t>M=1:100</t>
  </si>
  <si>
    <t>Rechnerisch einzuarbeitende Punkte (R):</t>
  </si>
  <si>
    <t>Maßstabsfaktor (M):</t>
  </si>
  <si>
    <t>negatives Vorzeichen: Abzug; positives Vorzeichen. Zuschlag</t>
  </si>
  <si>
    <t>Eintragung der Grundstücksgrenzen aus Plänen oder der Katastermappe in die</t>
  </si>
  <si>
    <t>Geländeaufnahme in digitaler Form</t>
  </si>
  <si>
    <t>H= [1,277 * L + 0,051 * GS + (6,219 * L + 0,010 * P + 0,136 * GS) * M ] * IS</t>
  </si>
  <si>
    <t>L =</t>
  </si>
  <si>
    <t>Aufnahmelänge in km</t>
  </si>
  <si>
    <t>GS =</t>
  </si>
  <si>
    <t>Anzahl der Grundstücke</t>
  </si>
  <si>
    <t>P =</t>
  </si>
  <si>
    <t>Anzahl der Punkte mit Koordinaten</t>
  </si>
  <si>
    <t>t =</t>
  </si>
  <si>
    <t>Anzahl der Transformationen</t>
  </si>
  <si>
    <t>R =</t>
  </si>
  <si>
    <t>Rechnerisch einzuarbeitende Punkte</t>
  </si>
  <si>
    <t>Maßstabsfaktor</t>
  </si>
  <si>
    <t>Zuschlag (t + 0,035 * R) * IS</t>
  </si>
  <si>
    <t>Erhebung von Leitungen</t>
  </si>
  <si>
    <t>B: Anzahl der kontaktierten Leitungsträger</t>
  </si>
  <si>
    <t xml:space="preserve">A: Anzahl der erhobenen Leitungen </t>
  </si>
  <si>
    <t>L: Leitungslänge der erhobenen Leitungen in km</t>
  </si>
  <si>
    <t>N: Nebenkosten Erhebung</t>
  </si>
  <si>
    <t>l1: digitalisierte Leitungslängen (in km)</t>
  </si>
  <si>
    <t>l2: rechnerisch eingearbeitete Leitungslängen (in km)</t>
  </si>
  <si>
    <t>n1: Anzahl der Bemaßungen</t>
  </si>
  <si>
    <t>n2: Anzahl der leitungsbeschr. Textelemente</t>
  </si>
  <si>
    <t>N: Nebenkosten Eintragung</t>
  </si>
  <si>
    <t xml:space="preserve">Kalkulationsgrundlage: Honorarleitlinie Vermessung und Geoinformation </t>
  </si>
  <si>
    <t>Pos 22.3 Erhebung von Leitungen und Pos 22.4 Einarbeitung</t>
  </si>
  <si>
    <t>Erhebung von Leitungen:</t>
  </si>
  <si>
    <t>H = (2,82 * B + 0,36 * A * (L - 1 )) * IS + N</t>
  </si>
  <si>
    <t>B =</t>
  </si>
  <si>
    <t>Anzahl der kontaktierten Leitungsträger</t>
  </si>
  <si>
    <t xml:space="preserve">Anzahl der erhobenen Leitungen </t>
  </si>
  <si>
    <t>Leitungslänge der erhobenen Leitungen in km</t>
  </si>
  <si>
    <t>N =</t>
  </si>
  <si>
    <t>Nebenkosten Erhebung</t>
  </si>
  <si>
    <t>Einarbeitung der Leitungen:</t>
  </si>
  <si>
    <t>H = (7,20 * l1 + 14,40 * l2 + 0,025 * n1 + 0,035 * n2) * IS + N</t>
  </si>
  <si>
    <t>l1 =</t>
  </si>
  <si>
    <t>digitalisierte Leitungslängen (in km)</t>
  </si>
  <si>
    <t>l2 =</t>
  </si>
  <si>
    <t>rechnerisch eingearbeitete Leitungslängen (in km)</t>
  </si>
  <si>
    <t>n1 =</t>
  </si>
  <si>
    <t>Anzahl der Bemaßungen</t>
  </si>
  <si>
    <t>n2 =</t>
  </si>
  <si>
    <t>Anzahl der leitungsbeschr. Textelemente</t>
  </si>
  <si>
    <t>Nebenkosten Einbauteneintragung</t>
  </si>
  <si>
    <t xml:space="preserve">Leistungsbeschreibung 
</t>
  </si>
  <si>
    <t xml:space="preserve">Leistungsbeschreibung 
</t>
  </si>
  <si>
    <t>Barauslagen</t>
  </si>
  <si>
    <t>Fahrtkosten Auto</t>
  </si>
  <si>
    <t>km-Auto</t>
  </si>
  <si>
    <t>km-Bus</t>
  </si>
  <si>
    <t>Bar</t>
  </si>
  <si>
    <t>qualifizierter Ingenieur</t>
  </si>
  <si>
    <t>qu.Ing.</t>
  </si>
  <si>
    <t>qualifizierter Ingenieur (Klasse V)</t>
  </si>
  <si>
    <t>qualifizierter Ingenieur (Klasse VI)</t>
  </si>
  <si>
    <t>qualifizierter Ingenieur (Klasse VII)</t>
  </si>
  <si>
    <t>Ing. V</t>
  </si>
  <si>
    <t>Ing. VII</t>
  </si>
  <si>
    <t>Ing. VIII</t>
  </si>
  <si>
    <t>Ing. VI</t>
  </si>
  <si>
    <t>qualifizierter Ingenieur (Klasse VIII)</t>
  </si>
  <si>
    <t xml:space="preserve">Zuschlag Detailpunkte: </t>
  </si>
  <si>
    <t>x IS je Pkt.</t>
  </si>
  <si>
    <t>Einarbeitung von Leitungen</t>
  </si>
  <si>
    <t xml:space="preserve">mittlerer Bürostundensatz: </t>
  </si>
  <si>
    <t>mittlerer Bürostundensatz:</t>
  </si>
  <si>
    <t>ZUSATZLEISTUNGEN gemäß Vereinbarung BAIK-ÖBB</t>
  </si>
  <si>
    <t>7.1</t>
  </si>
  <si>
    <t>7.2</t>
  </si>
  <si>
    <t>Geoinformation</t>
  </si>
  <si>
    <t>Katastereintragung</t>
  </si>
  <si>
    <t>Einbautenerhebung und -eintragung</t>
  </si>
  <si>
    <t>Nutzfläche</t>
  </si>
  <si>
    <t>Ausführungspläne digital vorhanden</t>
  </si>
  <si>
    <r>
      <t>m</t>
    </r>
    <r>
      <rPr>
        <vertAlign val="superscript"/>
        <sz val="12"/>
        <color theme="1"/>
        <rFont val="Calibri"/>
        <family val="2"/>
        <scheme val="minor"/>
      </rPr>
      <t>2</t>
    </r>
    <r>
      <rPr>
        <sz val="12"/>
        <color theme="1"/>
        <rFont val="Calibri"/>
        <family val="2"/>
        <scheme val="minor"/>
      </rPr>
      <t xml:space="preserve"> NF</t>
    </r>
  </si>
  <si>
    <t>zusammenhängende Flächen</t>
  </si>
  <si>
    <t>Raumhöhenauswertung</t>
  </si>
  <si>
    <t>Flächentabelle auf Plan und/oder im Excel-Format</t>
  </si>
  <si>
    <t>Flächen leerstehend oder genutzt</t>
  </si>
  <si>
    <t>pv</t>
  </si>
  <si>
    <t>lg</t>
  </si>
  <si>
    <t>gr</t>
  </si>
  <si>
    <t>rh</t>
  </si>
  <si>
    <t>tab</t>
  </si>
  <si>
    <t>auf Plan</t>
  </si>
  <si>
    <t xml:space="preserve"> %</t>
  </si>
  <si>
    <t xml:space="preserve"> % genutzt</t>
  </si>
  <si>
    <t>Ausführungspläne vorhanden</t>
  </si>
  <si>
    <t>Flächen leerstehend</t>
  </si>
  <si>
    <t>Flächentabelle auf Plan, im Excel-Format oder beides</t>
  </si>
  <si>
    <t>zf</t>
  </si>
  <si>
    <t>keine</t>
  </si>
  <si>
    <t>Basisstunden</t>
  </si>
  <si>
    <t>Potenz</t>
  </si>
  <si>
    <t>allgemeiner Faktor</t>
  </si>
  <si>
    <t>NF =</t>
  </si>
  <si>
    <t>pv =</t>
  </si>
  <si>
    <t>lg =</t>
  </si>
  <si>
    <t>gr =</t>
  </si>
  <si>
    <t>rh =</t>
  </si>
  <si>
    <t>tab =</t>
  </si>
  <si>
    <t>Keller</t>
  </si>
  <si>
    <t>Regelgeschoß</t>
  </si>
  <si>
    <t>Dachboden</t>
  </si>
  <si>
    <t>Dachdraufsicht</t>
  </si>
  <si>
    <t>Bruttogeschoß-
fläche</t>
  </si>
  <si>
    <t>Schnitt-
fläche</t>
  </si>
  <si>
    <t>Ansichts-
fläche</t>
  </si>
  <si>
    <t>Zeitgenössisches Gebäude</t>
  </si>
  <si>
    <t>A 6250-1, Aufnahmedichte A</t>
  </si>
  <si>
    <t>A 6250-1, Aufnahmedichte B</t>
  </si>
  <si>
    <t>A 6250-1, Aufnahmedichte C</t>
  </si>
  <si>
    <t>A 6250-1, Aufnahmedichte D</t>
  </si>
  <si>
    <t>A 6250-2, Konturdarstellung / Aufnahmedichte E</t>
  </si>
  <si>
    <t>A 6250-2, Portaitdarstellung / Aufnahmedichte F</t>
  </si>
  <si>
    <t>Rohdachboden (ohne Gesperre)</t>
  </si>
  <si>
    <t>ausgebaut (Gesperre nicht sichtbar)</t>
  </si>
  <si>
    <t>Rohdachboden (mit Hauptgesperre)</t>
  </si>
  <si>
    <t>Rohdachboden (Gesperre komplett)</t>
  </si>
  <si>
    <t>nur 3d-Modellierung</t>
  </si>
  <si>
    <t>3d-Modellierung:</t>
  </si>
  <si>
    <t>Ö-Norm:</t>
  </si>
  <si>
    <t>Gebäudetyp:</t>
  </si>
  <si>
    <t>BGF</t>
  </si>
  <si>
    <t>SF</t>
  </si>
  <si>
    <t>AF</t>
  </si>
  <si>
    <t>Anteile</t>
  </si>
  <si>
    <t>gt</t>
  </si>
  <si>
    <t>norm</t>
  </si>
  <si>
    <t>mod</t>
  </si>
  <si>
    <t>mod =</t>
  </si>
  <si>
    <t>norm =</t>
  </si>
  <si>
    <t>gt =</t>
  </si>
  <si>
    <t>Dachbodeninhalt:</t>
  </si>
  <si>
    <t>Basiskosten</t>
  </si>
  <si>
    <t>€/m2 ohne Basiskosten</t>
  </si>
  <si>
    <t>Kosten:</t>
  </si>
  <si>
    <t>Basis</t>
  </si>
  <si>
    <t>Regelgesch.</t>
  </si>
  <si>
    <t>Dachdraufs.</t>
  </si>
  <si>
    <t>ab</t>
  </si>
  <si>
    <r>
      <t>H</t>
    </r>
    <r>
      <rPr>
        <vertAlign val="subscript"/>
        <sz val="11"/>
        <color theme="1"/>
        <rFont val="Calibri"/>
        <family val="2"/>
        <scheme val="minor"/>
      </rPr>
      <t xml:space="preserve">BGFgesamt </t>
    </r>
    <r>
      <rPr>
        <sz val="11"/>
        <color theme="1"/>
        <rFont val="Calibri"/>
        <family val="2"/>
        <scheme val="minor"/>
      </rPr>
      <t>= H</t>
    </r>
    <r>
      <rPr>
        <vertAlign val="subscript"/>
        <sz val="11"/>
        <color theme="1"/>
        <rFont val="Calibri"/>
        <family val="2"/>
        <scheme val="minor"/>
      </rPr>
      <t>Basis</t>
    </r>
    <r>
      <rPr>
        <sz val="11"/>
        <color theme="1"/>
        <rFont val="Calibri"/>
        <family val="2"/>
        <scheme val="minor"/>
      </rPr>
      <t xml:space="preserve"> + H</t>
    </r>
    <r>
      <rPr>
        <vertAlign val="subscript"/>
        <sz val="11"/>
        <color theme="1"/>
        <rFont val="Calibri"/>
        <family val="2"/>
        <scheme val="minor"/>
      </rPr>
      <t xml:space="preserve">Keller </t>
    </r>
    <r>
      <rPr>
        <sz val="11"/>
        <color theme="1"/>
        <rFont val="Calibri"/>
        <family val="2"/>
        <scheme val="minor"/>
      </rPr>
      <t>+ H</t>
    </r>
    <r>
      <rPr>
        <vertAlign val="subscript"/>
        <sz val="11"/>
        <color theme="1"/>
        <rFont val="Calibri"/>
        <family val="2"/>
        <scheme val="minor"/>
      </rPr>
      <t>Regelgesch.</t>
    </r>
    <r>
      <rPr>
        <sz val="11"/>
        <color theme="1"/>
        <rFont val="Calibri"/>
        <family val="2"/>
        <scheme val="minor"/>
      </rPr>
      <t xml:space="preserve"> + H</t>
    </r>
    <r>
      <rPr>
        <vertAlign val="subscript"/>
        <sz val="11"/>
        <color theme="1"/>
        <rFont val="Calibri"/>
        <family val="2"/>
        <scheme val="minor"/>
      </rPr>
      <t>Dachboden</t>
    </r>
    <r>
      <rPr>
        <sz val="11"/>
        <color theme="1"/>
        <rFont val="Calibri"/>
        <family val="2"/>
        <scheme val="minor"/>
      </rPr>
      <t xml:space="preserve"> + H</t>
    </r>
    <r>
      <rPr>
        <vertAlign val="subscript"/>
        <sz val="11"/>
        <color theme="1"/>
        <rFont val="Calibri"/>
        <family val="2"/>
        <scheme val="minor"/>
      </rPr>
      <t>Dachdraufsicht</t>
    </r>
  </si>
  <si>
    <r>
      <t>H</t>
    </r>
    <r>
      <rPr>
        <vertAlign val="subscript"/>
        <sz val="11"/>
        <color theme="1"/>
        <rFont val="Calibri"/>
        <family val="2"/>
        <scheme val="minor"/>
      </rPr>
      <t xml:space="preserve">Schnitt  </t>
    </r>
    <r>
      <rPr>
        <sz val="11"/>
        <color theme="1"/>
        <rFont val="Calibri"/>
        <family val="2"/>
        <scheme val="minor"/>
      </rPr>
      <t>und  H</t>
    </r>
    <r>
      <rPr>
        <vertAlign val="subscript"/>
        <sz val="11"/>
        <color theme="1"/>
        <rFont val="Calibri"/>
        <family val="2"/>
        <scheme val="minor"/>
      </rPr>
      <t>Ansicht</t>
    </r>
    <r>
      <rPr>
        <sz val="11"/>
        <color theme="1"/>
        <rFont val="Calibri"/>
        <family val="2"/>
        <scheme val="minor"/>
      </rPr>
      <t xml:space="preserve"> : siehe RVS 06.01.12</t>
    </r>
  </si>
  <si>
    <t>LB_VG, Pos. 4.7.5, Umbildung einer Geländeaufnahme durch Maßstabsänderung</t>
  </si>
  <si>
    <t>LB_VG, Pos. 4.7.3, 3d-Planerstellung auf Basis eines 2,5d-Lage- und Höhenplanes</t>
  </si>
  <si>
    <t>Erstellen und verfeinern eines DGM</t>
  </si>
  <si>
    <t>LB_VG, Pos. 4.7.2, Erstellen und verfeinern eines DGM</t>
  </si>
  <si>
    <t>BGF/SF/AF</t>
  </si>
  <si>
    <r>
      <t>H</t>
    </r>
    <r>
      <rPr>
        <vertAlign val="subscript"/>
        <sz val="11"/>
        <color theme="1"/>
        <rFont val="Calibri"/>
        <family val="2"/>
        <scheme val="minor"/>
      </rPr>
      <t>Basis</t>
    </r>
    <r>
      <rPr>
        <sz val="11"/>
        <color theme="1"/>
        <rFont val="Calibri"/>
        <family val="2"/>
        <scheme val="minor"/>
      </rPr>
      <t xml:space="preserve"> = 3,0 * IST + NK</t>
    </r>
  </si>
  <si>
    <r>
      <t>H</t>
    </r>
    <r>
      <rPr>
        <vertAlign val="subscript"/>
        <sz val="11"/>
        <color theme="1"/>
        <rFont val="Calibri"/>
        <family val="2"/>
        <scheme val="minor"/>
      </rPr>
      <t>Keller</t>
    </r>
    <r>
      <rPr>
        <sz val="11"/>
        <color theme="1"/>
        <rFont val="Calibri"/>
        <family val="2"/>
        <scheme val="minor"/>
      </rPr>
      <t xml:space="preserve"> = 0,034 * (BGF^(1/1,02)) * (BGF</t>
    </r>
    <r>
      <rPr>
        <vertAlign val="subscript"/>
        <sz val="11"/>
        <color theme="1"/>
        <rFont val="Calibri"/>
        <family val="2"/>
        <scheme val="minor"/>
      </rPr>
      <t>K</t>
    </r>
    <r>
      <rPr>
        <sz val="11"/>
        <color theme="1"/>
        <rFont val="Calibri"/>
        <family val="2"/>
        <scheme val="minor"/>
      </rPr>
      <t>/BGF) * (1 + gt + norm + ab + mod) * IST</t>
    </r>
  </si>
  <si>
    <r>
      <t>H</t>
    </r>
    <r>
      <rPr>
        <vertAlign val="subscript"/>
        <sz val="11"/>
        <color theme="1"/>
        <rFont val="Calibri"/>
        <family val="2"/>
        <scheme val="minor"/>
      </rPr>
      <t>Regelgesch.</t>
    </r>
    <r>
      <rPr>
        <sz val="11"/>
        <color theme="1"/>
        <rFont val="Calibri"/>
        <family val="2"/>
        <scheme val="minor"/>
      </rPr>
      <t xml:space="preserve"> = 0,034 * (BGF^(1/1,02)) * (BGF</t>
    </r>
    <r>
      <rPr>
        <vertAlign val="subscript"/>
        <sz val="11"/>
        <color theme="1"/>
        <rFont val="Calibri"/>
        <family val="2"/>
        <scheme val="minor"/>
      </rPr>
      <t>R</t>
    </r>
    <r>
      <rPr>
        <sz val="11"/>
        <color theme="1"/>
        <rFont val="Calibri"/>
        <family val="2"/>
        <scheme val="minor"/>
      </rPr>
      <t>/BGF) * (1 + gt + norm + ab + mod) * IST</t>
    </r>
  </si>
  <si>
    <r>
      <t>H</t>
    </r>
    <r>
      <rPr>
        <vertAlign val="subscript"/>
        <sz val="11"/>
        <color theme="1"/>
        <rFont val="Calibri"/>
        <family val="2"/>
        <scheme val="minor"/>
      </rPr>
      <t>Dachboden</t>
    </r>
    <r>
      <rPr>
        <sz val="11"/>
        <color theme="1"/>
        <rFont val="Calibri"/>
        <family val="2"/>
        <scheme val="minor"/>
      </rPr>
      <t xml:space="preserve"> = 0,034 * (BGF^(1/1,02)) * (BGF</t>
    </r>
    <r>
      <rPr>
        <vertAlign val="subscript"/>
        <sz val="11"/>
        <color theme="1"/>
        <rFont val="Calibri"/>
        <family val="2"/>
        <scheme val="minor"/>
      </rPr>
      <t>DB</t>
    </r>
    <r>
      <rPr>
        <sz val="11"/>
        <color theme="1"/>
        <rFont val="Calibri"/>
        <family val="2"/>
        <scheme val="minor"/>
      </rPr>
      <t>/BGF) * (1 + gt + norm + ab + mod) * IST</t>
    </r>
  </si>
  <si>
    <r>
      <t>H</t>
    </r>
    <r>
      <rPr>
        <vertAlign val="subscript"/>
        <sz val="11"/>
        <color theme="1"/>
        <rFont val="Calibri"/>
        <family val="2"/>
        <scheme val="minor"/>
      </rPr>
      <t>Draufsicht</t>
    </r>
    <r>
      <rPr>
        <sz val="11"/>
        <color theme="1"/>
        <rFont val="Calibri"/>
        <family val="2"/>
        <scheme val="minor"/>
      </rPr>
      <t xml:space="preserve"> = 0,034 * (BGF^(1/1,02)) * (BGF</t>
    </r>
    <r>
      <rPr>
        <vertAlign val="subscript"/>
        <sz val="11"/>
        <color theme="1"/>
        <rFont val="Calibri"/>
        <family val="2"/>
        <scheme val="minor"/>
      </rPr>
      <t>DD</t>
    </r>
    <r>
      <rPr>
        <sz val="11"/>
        <color theme="1"/>
        <rFont val="Calibri"/>
        <family val="2"/>
        <scheme val="minor"/>
      </rPr>
      <t>/BGF) * (1 + gt + norm + ab + mod) * IST</t>
    </r>
  </si>
  <si>
    <t>H1 = Q x F2 x F4 x T x IST</t>
  </si>
  <si>
    <t>H2 = Q x F2 x F3 x T x IST</t>
  </si>
  <si>
    <t>H3 = Q x F2 x F3 x F4 x 0,7 x T x IST</t>
  </si>
  <si>
    <t>Situationsreichtum und Schwierigkeit:</t>
  </si>
  <si>
    <t>H = n * (0,05 + A) * IST</t>
  </si>
  <si>
    <t>Faktor aus Tabelle 28</t>
  </si>
  <si>
    <t>Reduktionsfaktor aus Tabelle 30</t>
  </si>
  <si>
    <t>H = n x 0,25 x IST  zuzügl. Ab-/Zuschläge</t>
  </si>
  <si>
    <t>mit Grundriss-, Schnitt- und/oder Ansichtsdarstellung</t>
  </si>
  <si>
    <t>berechnetes Honorar</t>
  </si>
  <si>
    <t>ab =</t>
  </si>
  <si>
    <t>Aufnahmebereich:</t>
  </si>
  <si>
    <t>Grundaufwand</t>
  </si>
  <si>
    <t>Grundaufwand:</t>
  </si>
  <si>
    <t>Punktdichte</t>
  </si>
  <si>
    <t xml:space="preserve"> ha</t>
  </si>
  <si>
    <t xml:space="preserve">Punktdichte: </t>
  </si>
  <si>
    <t xml:space="preserve">Fläche Verfeinerung DGM: </t>
  </si>
  <si>
    <t xml:space="preserve">Fläche Ermittlung DGM: </t>
  </si>
  <si>
    <r>
      <t xml:space="preserve"> Anzahl der Punkte pro m</t>
    </r>
    <r>
      <rPr>
        <vertAlign val="superscript"/>
        <sz val="12"/>
        <color theme="1"/>
        <rFont val="Calibri"/>
        <family val="2"/>
        <scheme val="minor"/>
      </rPr>
      <t>2</t>
    </r>
  </si>
  <si>
    <t xml:space="preserve"> Anzahl der Objekte pro ha</t>
  </si>
  <si>
    <t>Ermittlung DGM</t>
  </si>
  <si>
    <t>Verfeinerung DGM</t>
  </si>
  <si>
    <t>4.7.2
4.7.3</t>
  </si>
  <si>
    <t xml:space="preserve">Geländeklassee: </t>
  </si>
  <si>
    <t xml:space="preserve">Objektdichte: </t>
  </si>
  <si>
    <t>Geländeklasse / Schwierigkeitsstufe</t>
  </si>
  <si>
    <t>Objektdichte</t>
  </si>
  <si>
    <t>Fläche Verfeinerung DGM</t>
  </si>
  <si>
    <t>Fläche Ermittlung DGM</t>
  </si>
  <si>
    <t>Qe =</t>
  </si>
  <si>
    <t>Qv =</t>
  </si>
  <si>
    <t>[ha]</t>
  </si>
  <si>
    <t>Objekte/ha</t>
  </si>
  <si>
    <r>
      <t>Pkt./m</t>
    </r>
    <r>
      <rPr>
        <vertAlign val="superscript"/>
        <sz val="11"/>
        <color theme="1"/>
        <rFont val="Calibri"/>
        <family val="2"/>
        <scheme val="minor"/>
      </rPr>
      <t>2</t>
    </r>
  </si>
  <si>
    <t>AO =</t>
  </si>
  <si>
    <t>Ermittlung DGM:</t>
  </si>
  <si>
    <t>Verfeinerung DGM:</t>
  </si>
  <si>
    <t>H = ( 2,5 * E + G * T * n^0,8 * R ) * IS + N</t>
  </si>
  <si>
    <t>H = ( 2,5 * E + G * T * n^0,8 * R ) * 1,10 * IS+ N</t>
  </si>
  <si>
    <t>(12,145+(0,847*n^0,4*(1+Es)+(0,42*Ndp^0,8+0,2555*Nd^0,8+0,056*Ndh^0,8)*(1+Ed)+</t>
  </si>
  <si>
    <t>0,2625*Nds^0,8)*(n*15/(Ndp+Nds))^0,4)*G*(1+f)*D*IS+N</t>
  </si>
  <si>
    <t>H = ((2,319 * S + 2,355 * n) * f + 0,347 * n + 0,640) * ((S/(n/7))^0,2) * IS + N</t>
  </si>
  <si>
    <t>H = ((2,319 * S + 1,694 * n) * f + 0,124 * n + 0,640) * ((S/(n/7))^0,2) * IS + N</t>
  </si>
  <si>
    <t>H = ((2,319 * S + 2,355 * n) * f + 0,492 * n + 0,640) * ((S/(n/7))^0,2) * IS + N</t>
  </si>
  <si>
    <t>H = ((2,319 * S + 1,694 * n) * f + 0,259 * n + 0,640) * ((S/(n/7))^0,2) * IS + N</t>
  </si>
  <si>
    <t>H = ((1,228 * S + 1,759 * n) * f + 0,291 * n + 0,639) * ((S/(n/7))^0,2) * IS + N</t>
  </si>
  <si>
    <t>H = ((1,228 * S + 1,173 * n) * f + 0,058 * n + 0,639) * ((S/(n/7))^0,2) * IS + N</t>
  </si>
  <si>
    <t>H = ((1,228 * S + 1,759 * n) * f + 0,385 * n + 0,639) * ((S/(n/7))^0,2) * IS + N</t>
  </si>
  <si>
    <t>H = ((1,228 * S + 1,173 * n) * f + 0,152 * n + 0,639) * ((S/(n/7))^0,2) * IS + N</t>
  </si>
  <si>
    <r>
      <t>H</t>
    </r>
    <r>
      <rPr>
        <vertAlign val="subscript"/>
        <sz val="11"/>
        <color theme="0" tint="-0.499984740745262"/>
        <rFont val="Calibri"/>
        <family val="2"/>
        <scheme val="minor"/>
      </rPr>
      <t>c</t>
    </r>
    <r>
      <rPr>
        <sz val="11"/>
        <color theme="0" tint="-0.499984740745262"/>
        <rFont val="Calibri"/>
        <family val="2"/>
        <scheme val="minor"/>
      </rPr>
      <t xml:space="preserve"> = [(F</t>
    </r>
    <r>
      <rPr>
        <vertAlign val="subscript"/>
        <sz val="11"/>
        <color theme="0" tint="-0.499984740745262"/>
        <rFont val="Calibri"/>
        <family val="2"/>
        <scheme val="minor"/>
      </rPr>
      <t>5</t>
    </r>
    <r>
      <rPr>
        <sz val="11"/>
        <color theme="0" tint="-0.499984740745262"/>
        <rFont val="Calibri"/>
        <family val="2"/>
        <scheme val="minor"/>
      </rPr>
      <t>*l)+S</t>
    </r>
    <r>
      <rPr>
        <vertAlign val="subscript"/>
        <sz val="11"/>
        <color theme="0" tint="-0.499984740745262"/>
        <rFont val="Calibri"/>
        <family val="2"/>
        <scheme val="minor"/>
      </rPr>
      <t>i</t>
    </r>
    <r>
      <rPr>
        <sz val="11"/>
        <color theme="0" tint="-0.499984740745262"/>
        <rFont val="Calibri"/>
        <family val="2"/>
        <scheme val="minor"/>
      </rPr>
      <t>(F</t>
    </r>
    <r>
      <rPr>
        <vertAlign val="subscript"/>
        <sz val="11"/>
        <color theme="0" tint="-0.499984740745262"/>
        <rFont val="Calibri"/>
        <family val="2"/>
        <scheme val="minor"/>
      </rPr>
      <t>6</t>
    </r>
    <r>
      <rPr>
        <sz val="11"/>
        <color theme="0" tint="-0.499984740745262"/>
        <rFont val="Calibri"/>
        <family val="2"/>
        <scheme val="minor"/>
      </rPr>
      <t>*l</t>
    </r>
    <r>
      <rPr>
        <vertAlign val="subscript"/>
        <sz val="11"/>
        <color theme="0" tint="-0.499984740745262"/>
        <rFont val="Calibri"/>
        <family val="2"/>
        <scheme val="minor"/>
      </rPr>
      <t>i</t>
    </r>
    <r>
      <rPr>
        <sz val="11"/>
        <color theme="0" tint="-0.499984740745262"/>
        <rFont val="Calibri"/>
        <family val="2"/>
        <scheme val="minor"/>
      </rPr>
      <t>*s</t>
    </r>
    <r>
      <rPr>
        <vertAlign val="subscript"/>
        <sz val="11"/>
        <color theme="0" tint="-0.499984740745262"/>
        <rFont val="Calibri"/>
        <family val="2"/>
        <scheme val="minor"/>
      </rPr>
      <t>i</t>
    </r>
    <r>
      <rPr>
        <sz val="11"/>
        <color theme="0" tint="-0.499984740745262"/>
        <rFont val="Calibri"/>
        <family val="2"/>
        <scheme val="minor"/>
      </rPr>
      <t>)+(0,19*n)+((l/n)^0,25/6)-1+(1/n^0,25)]*IS+N</t>
    </r>
  </si>
  <si>
    <r>
      <t>H</t>
    </r>
    <r>
      <rPr>
        <vertAlign val="subscript"/>
        <sz val="11"/>
        <color theme="0" tint="-0.499984740745262"/>
        <rFont val="Calibri"/>
        <family val="2"/>
        <scheme val="minor"/>
      </rPr>
      <t>b</t>
    </r>
    <r>
      <rPr>
        <sz val="11"/>
        <color theme="0" tint="-0.499984740745262"/>
        <rFont val="Calibri"/>
        <family val="2"/>
        <scheme val="minor"/>
      </rPr>
      <t xml:space="preserve"> = [(F</t>
    </r>
    <r>
      <rPr>
        <vertAlign val="subscript"/>
        <sz val="11"/>
        <color theme="0" tint="-0.499984740745262"/>
        <rFont val="Calibri"/>
        <family val="2"/>
        <scheme val="minor"/>
      </rPr>
      <t>3</t>
    </r>
    <r>
      <rPr>
        <sz val="11"/>
        <color theme="0" tint="-0.499984740745262"/>
        <rFont val="Calibri"/>
        <family val="2"/>
        <scheme val="minor"/>
      </rPr>
      <t>*l)+S</t>
    </r>
    <r>
      <rPr>
        <vertAlign val="subscript"/>
        <sz val="11"/>
        <color theme="0" tint="-0.499984740745262"/>
        <rFont val="Calibri"/>
        <family val="2"/>
        <scheme val="minor"/>
      </rPr>
      <t>i</t>
    </r>
    <r>
      <rPr>
        <sz val="11"/>
        <color theme="0" tint="-0.499984740745262"/>
        <rFont val="Calibri"/>
        <family val="2"/>
        <scheme val="minor"/>
      </rPr>
      <t>(F</t>
    </r>
    <r>
      <rPr>
        <vertAlign val="subscript"/>
        <sz val="11"/>
        <color theme="0" tint="-0.499984740745262"/>
        <rFont val="Calibri"/>
        <family val="2"/>
        <scheme val="minor"/>
      </rPr>
      <t>4</t>
    </r>
    <r>
      <rPr>
        <sz val="11"/>
        <color theme="0" tint="-0.499984740745262"/>
        <rFont val="Calibri"/>
        <family val="2"/>
        <scheme val="minor"/>
      </rPr>
      <t>*l</t>
    </r>
    <r>
      <rPr>
        <vertAlign val="subscript"/>
        <sz val="11"/>
        <color theme="0" tint="-0.499984740745262"/>
        <rFont val="Calibri"/>
        <family val="2"/>
        <scheme val="minor"/>
      </rPr>
      <t>i</t>
    </r>
    <r>
      <rPr>
        <sz val="11"/>
        <color theme="0" tint="-0.499984740745262"/>
        <rFont val="Calibri"/>
        <family val="2"/>
        <scheme val="minor"/>
      </rPr>
      <t>*s</t>
    </r>
    <r>
      <rPr>
        <vertAlign val="subscript"/>
        <sz val="11"/>
        <color theme="0" tint="-0.499984740745262"/>
        <rFont val="Calibri"/>
        <family val="2"/>
        <scheme val="minor"/>
      </rPr>
      <t>i</t>
    </r>
    <r>
      <rPr>
        <sz val="11"/>
        <color theme="0" tint="-0.499984740745262"/>
        <rFont val="Calibri"/>
        <family val="2"/>
        <scheme val="minor"/>
      </rPr>
      <t>)+((l/n)^0,5)/3-1+(2/n^0,1)]*IS*b+N</t>
    </r>
  </si>
  <si>
    <r>
      <t>H</t>
    </r>
    <r>
      <rPr>
        <vertAlign val="subscript"/>
        <sz val="11"/>
        <color theme="0" tint="-0.499984740745262"/>
        <rFont val="Calibri"/>
        <family val="2"/>
        <scheme val="minor"/>
      </rPr>
      <t>a</t>
    </r>
    <r>
      <rPr>
        <sz val="11"/>
        <color theme="0" tint="-0.499984740745262"/>
        <rFont val="Calibri"/>
        <family val="2"/>
        <scheme val="minor"/>
      </rPr>
      <t xml:space="preserve"> = [(F</t>
    </r>
    <r>
      <rPr>
        <vertAlign val="subscript"/>
        <sz val="11"/>
        <color theme="0" tint="-0.499984740745262"/>
        <rFont val="Calibri"/>
        <family val="2"/>
        <scheme val="minor"/>
      </rPr>
      <t>1</t>
    </r>
    <r>
      <rPr>
        <sz val="11"/>
        <color theme="0" tint="-0.499984740745262"/>
        <rFont val="Calibri"/>
        <family val="2"/>
        <scheme val="minor"/>
      </rPr>
      <t>*l)+S</t>
    </r>
    <r>
      <rPr>
        <vertAlign val="subscript"/>
        <sz val="11"/>
        <color theme="0" tint="-0.499984740745262"/>
        <rFont val="Calibri"/>
        <family val="2"/>
        <scheme val="minor"/>
      </rPr>
      <t>i</t>
    </r>
    <r>
      <rPr>
        <sz val="11"/>
        <color theme="0" tint="-0.499984740745262"/>
        <rFont val="Calibri"/>
        <family val="2"/>
        <scheme val="minor"/>
      </rPr>
      <t>(F</t>
    </r>
    <r>
      <rPr>
        <vertAlign val="subscript"/>
        <sz val="11"/>
        <color theme="0" tint="-0.499984740745262"/>
        <rFont val="Calibri"/>
        <family val="2"/>
        <scheme val="minor"/>
      </rPr>
      <t>2</t>
    </r>
    <r>
      <rPr>
        <sz val="11"/>
        <color theme="0" tint="-0.499984740745262"/>
        <rFont val="Calibri"/>
        <family val="2"/>
        <scheme val="minor"/>
      </rPr>
      <t>*l</t>
    </r>
    <r>
      <rPr>
        <vertAlign val="subscript"/>
        <sz val="11"/>
        <color theme="0" tint="-0.499984740745262"/>
        <rFont val="Calibri"/>
        <family val="2"/>
        <scheme val="minor"/>
      </rPr>
      <t>i</t>
    </r>
    <r>
      <rPr>
        <sz val="11"/>
        <color theme="0" tint="-0.499984740745262"/>
        <rFont val="Calibri"/>
        <family val="2"/>
        <scheme val="minor"/>
      </rPr>
      <t>*s</t>
    </r>
    <r>
      <rPr>
        <vertAlign val="subscript"/>
        <sz val="11"/>
        <color theme="0" tint="-0.499984740745262"/>
        <rFont val="Calibri"/>
        <family val="2"/>
        <scheme val="minor"/>
      </rPr>
      <t>i</t>
    </r>
    <r>
      <rPr>
        <sz val="11"/>
        <color theme="0" tint="-0.499984740745262"/>
        <rFont val="Calibri"/>
        <family val="2"/>
        <scheme val="minor"/>
      </rPr>
      <t>)+(0,28*n)+((l/n)^0,5)/3-1+(2/n^0,5)+S</t>
    </r>
    <r>
      <rPr>
        <vertAlign val="subscript"/>
        <sz val="11"/>
        <color theme="0" tint="-0.499984740745262"/>
        <rFont val="Calibri"/>
        <family val="2"/>
        <scheme val="minor"/>
      </rPr>
      <t>i</t>
    </r>
    <r>
      <rPr>
        <sz val="11"/>
        <color theme="0" tint="-0.499984740745262"/>
        <rFont val="Calibri"/>
        <family val="2"/>
        <scheme val="minor"/>
      </rPr>
      <t>(0,24*n</t>
    </r>
    <r>
      <rPr>
        <vertAlign val="subscript"/>
        <sz val="11"/>
        <color theme="0" tint="-0.499984740745262"/>
        <rFont val="Calibri"/>
        <family val="2"/>
        <scheme val="minor"/>
      </rPr>
      <t>i</t>
    </r>
    <r>
      <rPr>
        <sz val="11"/>
        <color theme="0" tint="-0.499984740745262"/>
        <rFont val="Calibri"/>
        <family val="2"/>
        <scheme val="minor"/>
      </rPr>
      <t>*s</t>
    </r>
    <r>
      <rPr>
        <vertAlign val="subscript"/>
        <sz val="11"/>
        <color theme="0" tint="-0.499984740745262"/>
        <rFont val="Calibri"/>
        <family val="2"/>
        <scheme val="minor"/>
      </rPr>
      <t>i</t>
    </r>
    <r>
      <rPr>
        <sz val="11"/>
        <color theme="0" tint="-0.499984740745262"/>
        <rFont val="Calibri"/>
        <family val="2"/>
        <scheme val="minor"/>
      </rPr>
      <t>)]*IS*b+N</t>
    </r>
  </si>
  <si>
    <t>Ha = [(F1*l)+Si(F2*li*si)+(0,28*n)+((l/n)^0,5)/3-1+(2/n^0,5)+Si(0,24*ni*si)]*IS*b+N</t>
  </si>
  <si>
    <t>Hb = [(F3*l)+Si(F4*li*si)+((l/n)^0,5)/3-1+(2/n^0,1)]*IS*b+N</t>
  </si>
  <si>
    <t>Hc = [(F5*l)+Si(F6*li*si)+(0,19*n)+((l/n)^0,25/6)-1+(1/n^0,25)]*IS+N</t>
  </si>
  <si>
    <t>im Excel</t>
  </si>
  <si>
    <t>Absteckung ohne Höhenangabe:</t>
  </si>
  <si>
    <t>Absteckung mit Höhenangabe:</t>
  </si>
  <si>
    <t>Einsatzpauschale (20km An/Abfahrt) - 1MP</t>
  </si>
  <si>
    <t>Einsatzpauschale (20km An/Abfahrt) - 2MP</t>
  </si>
  <si>
    <t>1-Personen-Partie inkl. Gerät</t>
  </si>
  <si>
    <t>2-Personen-Partie inkl. Gerät</t>
  </si>
  <si>
    <t>Nachtzuschlag 1-Personen-Partie</t>
  </si>
  <si>
    <t>Nachtzuschlag 2-Personen-Partie</t>
  </si>
  <si>
    <t>Nachtzuschlag Techniker</t>
  </si>
  <si>
    <t>Nachtzuschlag Ingenieur</t>
  </si>
  <si>
    <t>NZ-Ing.</t>
  </si>
  <si>
    <t>NZ-Techn.</t>
  </si>
  <si>
    <t>NZ-1MP</t>
  </si>
  <si>
    <t>NZ-2MP</t>
  </si>
  <si>
    <t>Eins-1MP</t>
  </si>
  <si>
    <t>Eins-2MP</t>
  </si>
  <si>
    <t>LBVG_III_R03a.xlsx</t>
  </si>
  <si>
    <t>4.7.5</t>
  </si>
  <si>
    <t xml:space="preserve"> Tätigkeiten, die bei jeder Katastervermessung erfolgen</t>
  </si>
  <si>
    <t>Katastervermessung</t>
  </si>
  <si>
    <t>LB_VG, Pos. 3.1, Tätigkeiten, die bei jeder Katastervermessung erfolgen</t>
  </si>
  <si>
    <t>Netzmessung  (bis 600m und über 600m durchschn. Seitenlänge)</t>
  </si>
  <si>
    <t>4.1.1-2</t>
  </si>
  <si>
    <t>4.1.3-4</t>
  </si>
  <si>
    <t>Polygonzug (Feinpolygonzug und Technischer Polygonzug)</t>
  </si>
  <si>
    <t>H = (3/(S^0,5) + (5,95 * S + 0,46 * P) * G * E) * IS + N</t>
  </si>
  <si>
    <t>H = (3/(S^0,5) + (5,26 * S + 0,43 * P) * G * E) * IS + N</t>
  </si>
  <si>
    <t>E =</t>
  </si>
  <si>
    <t>Lage- und Höhenplan</t>
  </si>
  <si>
    <t>3d-Planerstellung auf Basis eines</t>
  </si>
  <si>
    <t>durch Maßstabsänderung</t>
  </si>
  <si>
    <t>Umbildung einer Geländeaufnahme</t>
  </si>
  <si>
    <t>wiederholte Datenlieferung</t>
  </si>
  <si>
    <r>
      <t>Flächenanteil großer Räume (&gt; 100m</t>
    </r>
    <r>
      <rPr>
        <vertAlign val="superscript"/>
        <sz val="12"/>
        <color theme="1"/>
        <rFont val="Calibri"/>
        <family val="2"/>
        <scheme val="minor"/>
      </rPr>
      <t>2</t>
    </r>
    <r>
      <rPr>
        <sz val="12"/>
        <color theme="1"/>
        <rFont val="Calibri"/>
        <family val="2"/>
        <scheme val="minor"/>
      </rPr>
      <t>)</t>
    </r>
  </si>
  <si>
    <r>
      <t>Flächenanteil großer Räume (&gt; 100m</t>
    </r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)</t>
    </r>
  </si>
  <si>
    <t>H = (3,0 + 0,028 * (NF^(1/1,02)) * (1 + pv + zf + lg + gr + rh + tab)) * IST + NK</t>
  </si>
  <si>
    <t>H = ((( Qe + Qv)^0,4 + 1) + ((Qe + Qv) * 5 * f * D^0,5)^0,5 + Qv * AO * 0,5) * IST + N</t>
  </si>
  <si>
    <t>CAD-Auswertung</t>
  </si>
  <si>
    <t>maximale Punktanzahl pro Einsatz:</t>
  </si>
  <si>
    <t>Achseinrechnung und Berechnung</t>
  </si>
  <si>
    <t>Gebirgstäler</t>
  </si>
  <si>
    <t>Faktor aus Tabelle 26</t>
  </si>
  <si>
    <t>Schwierigkeitsgrad (Faktor F; Tabelle 26):</t>
  </si>
  <si>
    <t>(nicht mehr üblich)</t>
  </si>
  <si>
    <t>Geoinformationen</t>
  </si>
  <si>
    <t>Regieleistung</t>
  </si>
  <si>
    <t>Regieleistung  A</t>
  </si>
  <si>
    <t>Regieleistung  B</t>
  </si>
  <si>
    <t>Regieleistung  C</t>
  </si>
  <si>
    <t>Regieleistung  D</t>
  </si>
  <si>
    <t>Fahrtkosten Messfahrzeug inkl. Instrumentenausstattung</t>
  </si>
  <si>
    <t>Ergänzung aus Vereinbarung der BAIK mit ÖBB und HL-AG, 1995</t>
  </si>
  <si>
    <t>Ergänzung aus HOVG</t>
  </si>
  <si>
    <t>LB_VG, Pos. 7.2,  Erhebung von Leitungen und Eintragung im digitalen Plan</t>
  </si>
  <si>
    <t xml:space="preserve">LB_VG, Pos. 7.1, </t>
  </si>
  <si>
    <t>übernommen aus: Vereinbarung ÖBB/HLAG mit BAIK, 1995</t>
  </si>
  <si>
    <t xml:space="preserve">übernommen aus: Honorarleitlinie Vermessung und Geoinformation </t>
  </si>
  <si>
    <t>Datum</t>
  </si>
  <si>
    <t>Filename</t>
  </si>
  <si>
    <t>Inhalt</t>
  </si>
  <si>
    <t>Komplettüberarbeitung nach Novellierung der RVS 06.01.11 und RVS 06.01.12, 01.11.2025</t>
  </si>
  <si>
    <t>Tabelle 28: Methode der Höhenauswertung (Faktor F4)</t>
  </si>
  <si>
    <t>Tabelle 27: Bearbeitungsfaktor F2</t>
  </si>
  <si>
    <t>Tabelle 29: Reduktionsfaktor T</t>
  </si>
  <si>
    <t>Abzug wegen Datenbereitstellung durch AG</t>
  </si>
  <si>
    <t>Kalkulationsgrundlage: Vereinbarung ÖBB/HLAG mit BAIK, 1995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</si>
</sst>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7">
    <numFmt numFmtId="164" formatCode="0.0000"/>
    <numFmt numFmtId="165" formatCode="&quot;€&quot;\ #,##0.00"/>
    <numFmt numFmtId="166" formatCode="#,##0.00\ &quot;km&quot;"/>
    <numFmt numFmtId="167" formatCode="#0\ &quot;m&quot;"/>
    <numFmt numFmtId="168" formatCode="#,##0.0000"/>
    <numFmt numFmtId="169" formatCode="#,##0.00\ &quot;ha&quot;"/>
    <numFmt numFmtId="170" formatCode="&quot;€&quot;\ #,##0.00;\-\ &quot;€&quot;\ #,##0.00"/>
    <numFmt numFmtId="171" formatCode="&quot;€&quot;\ #,##0.0000;\-\ &quot;€&quot;\ #,##0.0000"/>
    <numFmt numFmtId="172" formatCode="#,##0.00\ &quot;Km&quot;"/>
    <numFmt numFmtId="173" formatCode="0.000"/>
    <numFmt numFmtId="174" formatCode="#,##0.00\ &quot;m²&quot;"/>
    <numFmt numFmtId="175" formatCode="0.00\ &quot;m²&quot;"/>
    <numFmt numFmtId="176" formatCode="0.00\ &quot;cm&quot;"/>
    <numFmt numFmtId="177" formatCode="0\ &quot;m&quot;"/>
    <numFmt numFmtId="178" formatCode="0.0"/>
    <numFmt numFmtId="179" formatCode="&quot;(alle&quot;\ #,##0\ &quot;m)&quot;"/>
    <numFmt numFmtId="180" formatCode="##0\ &quot;m²&quot;"/>
    <numFmt numFmtId="181" formatCode="0.000000"/>
    <numFmt numFmtId="182" formatCode="0.0\ &quot;Stunden&quot;"/>
    <numFmt numFmtId="183" formatCode="0.0\ &quot;cm&quot;"/>
    <numFmt numFmtId="184" formatCode="0.0%"/>
    <numFmt numFmtId="185" formatCode="#,##0&quot;/km&quot;;"/>
    <numFmt numFmtId="186" formatCode="_-&quot;öS&quot;\ * #,##0.00_-;\-&quot;öS&quot;\ * #,##0.00_-;_-&quot;öS&quot;\ * &quot;-&quot;??_-;_-@_-"/>
    <numFmt numFmtId="187" formatCode="0.0\ &quot;m²&quot;"/>
    <numFmt numFmtId="188" formatCode="0.00\ &quot;€/m²&quot;"/>
    <numFmt numFmtId="189" formatCode="#,##0.00\ &quot;€&quot;"/>
    <numFmt numFmtId="190" formatCode="0.00\ &quot;€/Pkt.&quot;"/>
  </numFmts>
  <fonts count="13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Arial"/>
      <family val="2"/>
    </font>
    <font>
      <i/>
      <sz val="10"/>
      <color theme="1"/>
      <name val="Cambria"/>
      <family val="1"/>
    </font>
    <font>
      <i/>
      <vertAlign val="subscript"/>
      <sz val="10"/>
      <color theme="1"/>
      <name val="Cambria"/>
      <family val="1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vertAlign val="subscript"/>
      <sz val="11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2"/>
      <name val="Calibri"/>
      <family val="2"/>
      <scheme val="minor"/>
    </font>
    <font>
      <vertAlign val="subscript"/>
      <sz val="12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vertAlign val="subscript"/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2"/>
      <color theme="0" tint="-0.1499984740745262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16"/>
      <color rgb="FF00B050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color rgb="FF00B050"/>
      <name val="Calibri"/>
      <family val="2"/>
      <scheme val="minor"/>
    </font>
    <font>
      <b/>
      <sz val="14"/>
      <color rgb="FF00B050"/>
      <name val="Calibri"/>
      <family val="2"/>
      <scheme val="minor"/>
    </font>
    <font>
      <b/>
      <u/>
      <sz val="12"/>
      <color rgb="FF00B050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vertAlign val="subscript"/>
      <sz val="11"/>
      <color theme="0" tint="-0.499984740745262"/>
      <name val="Calibri"/>
      <family val="2"/>
      <scheme val="minor"/>
    </font>
    <font>
      <vertAlign val="subscript"/>
      <sz val="12"/>
      <color theme="0" tint="-0.499984740745262"/>
      <name val="Calibri"/>
      <family val="2"/>
      <scheme val="minor"/>
    </font>
    <font>
      <sz val="12"/>
      <color theme="0" tint="-0.499984740745262"/>
      <name val="Calibri"/>
      <family val="2"/>
      <scheme val="minor"/>
    </font>
    <font>
      <b/>
      <sz val="14"/>
      <color theme="0" tint="-0.499984740745262"/>
      <name val="Calibri"/>
      <family val="2"/>
      <scheme val="minor"/>
    </font>
    <font>
      <b/>
      <u/>
      <sz val="12"/>
      <color theme="0" tint="-0.499984740745262"/>
      <name val="Calibri"/>
      <family val="2"/>
      <scheme val="minor"/>
    </font>
    <font>
      <b/>
      <sz val="11"/>
      <color rgb="FF00B050"/>
      <name val="Calibri"/>
      <family val="2"/>
      <scheme val="minor"/>
    </font>
    <font>
      <b/>
      <sz val="11"/>
      <color theme="0" tint="-0.499984740745262"/>
      <name val="Calibri"/>
      <family val="2"/>
      <scheme val="minor"/>
    </font>
    <font>
      <sz val="10"/>
      <name val="Arial"/>
      <family val="2"/>
    </font>
    <font>
      <b/>
      <sz val="18"/>
      <color theme="1"/>
      <name val="Calibri"/>
      <family val="2"/>
      <scheme val="minor"/>
    </font>
    <font>
      <sz val="11"/>
      <color theme="0" tint="-0.249977111117893"/>
      <name val="Calibri"/>
      <family val="2"/>
      <scheme val="minor"/>
    </font>
    <font>
      <sz val="9"/>
      <color theme="0" tint="-0.249977111117893"/>
      <name val="Calibri"/>
      <family val="2"/>
      <scheme val="minor"/>
    </font>
    <font>
      <b/>
      <sz val="14"/>
      <color theme="0" tint="-0.249977111117893"/>
      <name val="Calibri"/>
      <family val="2"/>
      <scheme val="minor"/>
    </font>
    <font>
      <b/>
      <sz val="11"/>
      <color theme="0" tint="-0.249977111117893"/>
      <name val="Calibri"/>
      <family val="2"/>
      <scheme val="minor"/>
    </font>
    <font>
      <b/>
      <u/>
      <sz val="12"/>
      <color theme="0" tint="-0.249977111117893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2"/>
      <color rgb="FF00B050"/>
      <name val="Calibri"/>
      <family val="2"/>
      <scheme val="minor"/>
    </font>
    <font>
      <b/>
      <sz val="12"/>
      <color theme="0" tint="-0.249977111117893"/>
      <name val="Calibri"/>
      <family val="2"/>
      <scheme val="minor"/>
    </font>
    <font>
      <sz val="8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sz val="11"/>
      <color theme="0" tint="-0.14999847407452621"/>
      <name val="Calibri"/>
      <family val="2"/>
      <scheme val="minor"/>
    </font>
    <font>
      <sz val="9"/>
      <name val="Calibri"/>
      <family val="2"/>
      <scheme val="minor"/>
    </font>
    <font>
      <sz val="11"/>
      <color theme="0" tint="-0.34998626667073579"/>
      <name val="Calibri"/>
      <family val="2"/>
      <scheme val="minor"/>
    </font>
    <font>
      <sz val="10"/>
      <color theme="1"/>
      <name val="Arial Narrow"/>
      <family val="2"/>
    </font>
    <font>
      <b/>
      <sz val="10"/>
      <color theme="1"/>
      <name val="Times New Roman"/>
      <family val="1"/>
    </font>
    <font>
      <sz val="11"/>
      <color rgb="FF0000FF"/>
      <name val="Calibri"/>
      <family val="2"/>
      <scheme val="minor"/>
    </font>
    <font>
      <b/>
      <sz val="11"/>
      <color theme="0" tint="-0.34998626667073579"/>
      <name val="Calibri"/>
      <family val="2"/>
      <scheme val="minor"/>
    </font>
    <font>
      <sz val="9"/>
      <color rgb="FFFF0000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color theme="0" tint="-0.34998626667073579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color rgb="FF00B050"/>
      <name val="Calibri"/>
      <family val="2"/>
      <scheme val="minor"/>
    </font>
    <font>
      <sz val="10"/>
      <color theme="0" tint="-0.1499984740745262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0"/>
      <color theme="1" tint="0.499984740745262"/>
      <name val="Calibri"/>
      <family val="2"/>
      <scheme val="minor"/>
    </font>
    <font>
      <sz val="11"/>
      <color theme="1" tint="0.499984740745262"/>
      <name val="Calibri"/>
      <family val="2"/>
      <scheme val="minor"/>
    </font>
    <font>
      <sz val="9"/>
      <color theme="1" tint="0.499984740745262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color theme="1"/>
      <name val="Arial"/>
      <family val="2"/>
    </font>
    <font>
      <vertAlign val="subscript"/>
      <sz val="12"/>
      <name val="Times New Roman"/>
      <family val="1"/>
    </font>
    <font>
      <vertAlign val="superscript"/>
      <sz val="12"/>
      <name val="Times New Roman"/>
      <family val="1"/>
    </font>
    <font>
      <sz val="12"/>
      <name val="Times New Roman"/>
      <family val="1"/>
    </font>
    <font>
      <sz val="10"/>
      <color rgb="FF00B050"/>
      <name val="Calibri"/>
      <family val="2"/>
      <scheme val="minor"/>
    </font>
    <font>
      <sz val="10"/>
      <color theme="0" tint="-0.249977111117893"/>
      <name val="Calibri"/>
      <family val="2"/>
      <scheme val="minor"/>
    </font>
    <font>
      <sz val="12"/>
      <color theme="0" tint="-0.249977111117893"/>
      <name val="Calibri"/>
      <family val="2"/>
      <scheme val="minor"/>
    </font>
    <font>
      <vertAlign val="subscript"/>
      <sz val="11"/>
      <color theme="0" tint="-0.249977111117893"/>
      <name val="Calibri"/>
      <family val="2"/>
      <scheme val="minor"/>
    </font>
    <font>
      <vertAlign val="subscript"/>
      <sz val="12"/>
      <color theme="0" tint="-0.249977111117893"/>
      <name val="Times New Roman"/>
      <family val="1"/>
    </font>
    <font>
      <vertAlign val="superscript"/>
      <sz val="10"/>
      <name val="Calibri"/>
      <family val="2"/>
      <scheme val="minor"/>
    </font>
    <font>
      <sz val="11"/>
      <color rgb="FF92D050"/>
      <name val="Calibri"/>
      <family val="2"/>
      <scheme val="minor"/>
    </font>
    <font>
      <b/>
      <sz val="11"/>
      <color theme="1" tint="0.499984740745262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8"/>
      <color indexed="10"/>
      <name val="Tahoma"/>
      <family val="2"/>
    </font>
    <font>
      <sz val="10"/>
      <color theme="1"/>
      <name val="Verdana"/>
      <family val="2"/>
    </font>
    <font>
      <sz val="12"/>
      <color rgb="FF00B050"/>
      <name val="Calibri"/>
      <family val="2"/>
      <scheme val="minor"/>
    </font>
    <font>
      <sz val="10"/>
      <color rgb="FF0000FF"/>
      <name val="Calibri"/>
      <family val="2"/>
      <scheme val="minor"/>
    </font>
    <font>
      <i/>
      <sz val="11"/>
      <name val="Calibri"/>
      <family val="2"/>
      <scheme val="minor"/>
    </font>
    <font>
      <sz val="10"/>
      <color theme="0" tint="-0.249977111117893"/>
      <name val="Arial"/>
      <family val="2"/>
    </font>
    <font>
      <sz val="12"/>
      <color rgb="FF0000FF"/>
      <name val="Calibri"/>
      <family val="2"/>
      <scheme val="minor"/>
    </font>
    <font>
      <sz val="11"/>
      <color theme="3"/>
      <name val="Calibri"/>
      <family val="2"/>
      <scheme val="minor"/>
    </font>
    <font>
      <sz val="10"/>
      <color theme="3"/>
      <name val="Arial"/>
      <family val="2"/>
    </font>
    <font>
      <i/>
      <sz val="11"/>
      <color rgb="FF00B050"/>
      <name val="Calibri"/>
      <family val="2"/>
      <scheme val="minor"/>
    </font>
    <font>
      <i/>
      <sz val="11"/>
      <color theme="0" tint="-0.249977111117893"/>
      <name val="Calibri"/>
      <family val="2"/>
      <scheme val="minor"/>
    </font>
    <font>
      <sz val="10"/>
      <color theme="0" tint="-0.34998626667073579"/>
      <name val="Arial"/>
      <family val="2"/>
    </font>
    <font>
      <i/>
      <sz val="11"/>
      <color theme="0" tint="-0.34998626667073579"/>
      <name val="Calibri"/>
      <family val="2"/>
      <scheme val="minor"/>
    </font>
    <font>
      <i/>
      <sz val="10"/>
      <color theme="0" tint="-0.34998626667073579"/>
      <name val="Arial"/>
      <family val="2"/>
    </font>
    <font>
      <i/>
      <sz val="10"/>
      <name val="Arial"/>
      <family val="2"/>
    </font>
    <font>
      <sz val="10"/>
      <color indexed="10"/>
      <name val="Arial"/>
      <family val="2"/>
    </font>
    <font>
      <i/>
      <sz val="10"/>
      <color indexed="9"/>
      <name val="Arial"/>
      <family val="2"/>
    </font>
    <font>
      <sz val="10"/>
      <color indexed="9"/>
      <name val="Arial"/>
      <family val="2"/>
    </font>
    <font>
      <i/>
      <sz val="10"/>
      <color indexed="8"/>
      <name val="Arial"/>
      <family val="2"/>
    </font>
    <font>
      <sz val="10"/>
      <color indexed="12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  <font>
      <sz val="10"/>
      <color indexed="39"/>
      <name val="Arial"/>
      <family val="2"/>
    </font>
    <font>
      <b/>
      <i/>
      <u/>
      <sz val="10"/>
      <name val="Arial"/>
      <family val="2"/>
    </font>
    <font>
      <b/>
      <sz val="10"/>
      <color indexed="8"/>
      <name val="Arial"/>
      <family val="2"/>
    </font>
    <font>
      <sz val="10"/>
      <color indexed="8"/>
      <name val="Calibri"/>
      <family val="2"/>
      <scheme val="minor"/>
    </font>
    <font>
      <vertAlign val="superscript"/>
      <sz val="12"/>
      <color theme="1"/>
      <name val="Calibri"/>
      <family val="2"/>
      <scheme val="minor"/>
    </font>
    <font>
      <sz val="11"/>
      <color theme="3" tint="0.39997558519241921"/>
      <name val="Calibri"/>
      <family val="2"/>
      <scheme val="minor"/>
    </font>
    <font>
      <b/>
      <sz val="14"/>
      <color theme="3" tint="0.39997558519241921"/>
      <name val="Calibri"/>
      <family val="2"/>
      <scheme val="minor"/>
    </font>
    <font>
      <b/>
      <sz val="11"/>
      <color theme="3" tint="0.39997558519241921"/>
      <name val="Calibri"/>
      <family val="2"/>
      <scheme val="minor"/>
    </font>
    <font>
      <b/>
      <sz val="12"/>
      <color theme="3" tint="0.39997558519241921"/>
      <name val="Calibri"/>
      <family val="2"/>
      <scheme val="minor"/>
    </font>
    <font>
      <b/>
      <u/>
      <sz val="12"/>
      <color theme="3" tint="0.39997558519241921"/>
      <name val="Calibri"/>
      <family val="2"/>
      <scheme val="minor"/>
    </font>
    <font>
      <sz val="11"/>
      <color theme="4"/>
      <name val="Calibri"/>
      <family val="2"/>
      <scheme val="minor"/>
    </font>
    <font>
      <sz val="11"/>
      <color theme="3" tint="0.249977111117893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8"/>
      <color theme="0" tint="-0.249977111117893"/>
      <name val="Calibri"/>
      <family val="2"/>
      <scheme val="minor"/>
    </font>
    <font>
      <sz val="10"/>
      <color theme="1"/>
      <name val="Times New Roman"/>
      <family val="1"/>
    </font>
    <font>
      <sz val="11"/>
      <color rgb="FF0000FF"/>
      <name val="Calibri"/>
      <family val="2"/>
    </font>
    <font>
      <sz val="11"/>
      <color rgb="FF000000"/>
      <name val="Calibri"/>
      <family val="2"/>
    </font>
    <font>
      <sz val="9"/>
      <color indexed="81"/>
      <name val="Segoe UI"/>
      <family val="2"/>
    </font>
    <font>
      <sz val="12"/>
      <color theme="4" tint="-0.249977111117893"/>
      <name val="Calibri"/>
      <family val="2"/>
      <scheme val="minor"/>
    </font>
    <font>
      <sz val="10"/>
      <color theme="4" tint="-0.249977111117893"/>
      <name val="Calibri"/>
      <family val="2"/>
      <scheme val="minor"/>
    </font>
    <font>
      <sz val="8"/>
      <color theme="4" tint="-0.249977111117893"/>
      <name val="Arial Narrow"/>
      <family val="2"/>
    </font>
    <font>
      <sz val="11"/>
      <color theme="4" tint="-0.249977111117893"/>
      <name val="Calibri"/>
      <family val="2"/>
      <scheme val="minor"/>
    </font>
    <font>
      <sz val="9"/>
      <color theme="4" tint="-0.249977111117893"/>
      <name val="Calibri"/>
      <family val="2"/>
      <scheme val="minor"/>
    </font>
    <font>
      <sz val="9"/>
      <color theme="4" tint="-0.249977111117893"/>
      <name val="Arial Narrow"/>
      <family val="2"/>
    </font>
    <font>
      <strike/>
      <sz val="11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97">
    <border>
      <left/>
      <right/>
      <top/>
      <bottom/>
      <diagonal/>
    </border>
    <border>
      <left/>
      <right/>
      <top/>
      <bottom style="thick">
        <color auto="1"/>
      </bottom>
      <diagonal/>
    </border>
    <border>
      <left/>
      <right/>
      <top style="thick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/>
      <diagonal/>
    </border>
    <border>
      <left/>
      <right/>
      <top style="thin">
        <color theme="0" tint="-0.14996795556505021"/>
      </top>
      <bottom/>
      <diagonal/>
    </border>
    <border>
      <left/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/>
      <top/>
      <bottom/>
      <diagonal/>
    </border>
    <border>
      <left/>
      <right style="thin">
        <color theme="0" tint="-0.14996795556505021"/>
      </right>
      <top/>
      <bottom/>
      <diagonal/>
    </border>
    <border>
      <left style="thin">
        <color theme="0" tint="-0.14996795556505021"/>
      </left>
      <right/>
      <top/>
      <bottom style="thin">
        <color theme="0" tint="-0.14996795556505021"/>
      </bottom>
      <diagonal/>
    </border>
    <border>
      <left/>
      <right/>
      <top/>
      <bottom style="thin">
        <color theme="0" tint="-0.14996795556505021"/>
      </bottom>
      <diagonal/>
    </border>
    <border>
      <left/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auto="1"/>
      </top>
      <bottom/>
      <diagonal/>
    </border>
    <border>
      <left style="thin">
        <color indexed="64"/>
      </left>
      <right/>
      <top/>
      <bottom style="thick">
        <color auto="1"/>
      </bottom>
      <diagonal/>
    </border>
    <border>
      <left style="thick">
        <color indexed="64"/>
      </left>
      <right/>
      <top style="thick">
        <color auto="1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ck">
        <color indexed="64"/>
      </left>
      <right/>
      <top/>
      <bottom style="thick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/>
      <diagonal/>
    </border>
    <border>
      <left style="thin">
        <color theme="0" tint="-0.14996795556505021"/>
      </left>
      <right/>
      <top style="thin">
        <color indexed="64"/>
      </top>
      <bottom/>
      <diagonal/>
    </border>
    <border>
      <left/>
      <right style="thin">
        <color theme="0" tint="-0.14996795556505021"/>
      </right>
      <top style="thin">
        <color indexed="64"/>
      </top>
      <bottom/>
      <diagonal/>
    </border>
    <border>
      <left style="thin">
        <color theme="0" tint="-0.14996795556505021"/>
      </left>
      <right/>
      <top/>
      <bottom style="thin">
        <color indexed="64"/>
      </bottom>
      <diagonal/>
    </border>
    <border>
      <left/>
      <right style="thin">
        <color theme="0" tint="-0.14993743705557422"/>
      </right>
      <top style="thin">
        <color theme="0" tint="-0.14993743705557422"/>
      </top>
      <bottom style="thin">
        <color theme="0" tint="-0.14993743705557422"/>
      </bottom>
      <diagonal/>
    </border>
    <border>
      <left style="thin">
        <color theme="0" tint="-0.14993743705557422"/>
      </left>
      <right/>
      <top style="thin">
        <color theme="0" tint="-0.14993743705557422"/>
      </top>
      <bottom style="thin">
        <color theme="0" tint="-0.14993743705557422"/>
      </bottom>
      <diagonal/>
    </border>
    <border>
      <left/>
      <right style="thick">
        <color auto="1"/>
      </right>
      <top style="thick">
        <color auto="1"/>
      </top>
      <bottom/>
      <diagonal/>
    </border>
    <border>
      <left/>
      <right style="thick">
        <color auto="1"/>
      </right>
      <top/>
      <bottom/>
      <diagonal/>
    </border>
    <border>
      <left style="medium">
        <color indexed="64"/>
      </left>
      <right/>
      <top style="medium">
        <color auto="1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rgb="FFFF0000"/>
      </left>
      <right style="medium">
        <color rgb="FFFF0000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FF0000"/>
      </left>
      <right style="medium">
        <color rgb="FFFF0000"/>
      </right>
      <top/>
      <bottom style="medium">
        <color rgb="FFFF0000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medium">
        <color theme="0" tint="-0.14993743705557422"/>
      </left>
      <right style="medium">
        <color theme="0" tint="-0.14993743705557422"/>
      </right>
      <top style="medium">
        <color theme="0" tint="-0.14993743705557422"/>
      </top>
      <bottom style="medium">
        <color theme="0" tint="-0.14993743705557422"/>
      </bottom>
      <diagonal/>
    </border>
    <border>
      <left style="medium">
        <color theme="0" tint="-0.14993743705557422"/>
      </left>
      <right/>
      <top style="medium">
        <color theme="0" tint="-0.14993743705557422"/>
      </top>
      <bottom style="medium">
        <color theme="0" tint="-0.14993743705557422"/>
      </bottom>
      <diagonal/>
    </border>
    <border>
      <left/>
      <right style="medium">
        <color theme="0" tint="-0.14993743705557422"/>
      </right>
      <top style="medium">
        <color theme="0" tint="-0.14993743705557422"/>
      </top>
      <bottom style="medium">
        <color theme="0" tint="-0.14993743705557422"/>
      </bottom>
      <diagonal/>
    </border>
    <border>
      <left/>
      <right/>
      <top style="medium">
        <color theme="0" tint="-0.14993743705557422"/>
      </top>
      <bottom style="medium">
        <color theme="0" tint="-0.14993743705557422"/>
      </bottom>
      <diagonal/>
    </border>
    <border>
      <left/>
      <right style="thin">
        <color theme="0" tint="-0.14996795556505021"/>
      </right>
      <top/>
      <bottom style="thin">
        <color indexed="64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/>
      <diagonal/>
    </border>
    <border>
      <left/>
      <right/>
      <top style="medium">
        <color theme="0" tint="-0.24994659260841701"/>
      </top>
      <bottom/>
      <diagonal/>
    </border>
    <border>
      <left/>
      <right style="medium">
        <color theme="0" tint="-0.24994659260841701"/>
      </right>
      <top style="medium">
        <color theme="0" tint="-0.24994659260841701"/>
      </top>
      <bottom/>
      <diagonal/>
    </border>
    <border>
      <left/>
      <right style="medium">
        <color theme="0" tint="-0.24994659260841701"/>
      </right>
      <top/>
      <bottom/>
      <diagonal/>
    </border>
    <border>
      <left/>
      <right/>
      <top/>
      <bottom style="medium">
        <color theme="0" tint="-0.24994659260841701"/>
      </bottom>
      <diagonal/>
    </border>
    <border>
      <left/>
      <right style="medium">
        <color theme="0" tint="-0.24994659260841701"/>
      </right>
      <top/>
      <bottom style="medium">
        <color theme="0" tint="-0.24994659260841701"/>
      </bottom>
      <diagonal/>
    </border>
    <border>
      <left style="medium">
        <color theme="0" tint="-0.24994659260841701"/>
      </left>
      <right style="thin">
        <color theme="0" tint="-0.24994659260841701"/>
      </right>
      <top style="medium">
        <color theme="0" tint="-0.24994659260841701"/>
      </top>
      <bottom/>
      <diagonal/>
    </border>
    <border>
      <left style="thin">
        <color theme="0" tint="-0.24994659260841701"/>
      </left>
      <right/>
      <top style="medium">
        <color theme="0" tint="-0.24994659260841701"/>
      </top>
      <bottom/>
      <diagonal/>
    </border>
    <border>
      <left style="medium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/>
      <diagonal/>
    </border>
    <border>
      <left style="medium">
        <color theme="0" tint="-0.24994659260841701"/>
      </left>
      <right style="thin">
        <color theme="0" tint="-0.24994659260841701"/>
      </right>
      <top/>
      <bottom style="medium">
        <color theme="0" tint="-0.24994659260841701"/>
      </bottom>
      <diagonal/>
    </border>
    <border>
      <left style="thin">
        <color theme="0" tint="-0.24994659260841701"/>
      </left>
      <right/>
      <top/>
      <bottom style="medium">
        <color theme="0" tint="-0.24994659260841701"/>
      </bottom>
      <diagonal/>
    </border>
    <border>
      <left style="medium">
        <color theme="0" tint="-0.14990691854609822"/>
      </left>
      <right/>
      <top style="medium">
        <color theme="0" tint="-0.14990691854609822"/>
      </top>
      <bottom style="medium">
        <color theme="0" tint="-0.14990691854609822"/>
      </bottom>
      <diagonal/>
    </border>
    <border>
      <left/>
      <right style="medium">
        <color theme="0" tint="-0.14990691854609822"/>
      </right>
      <top style="medium">
        <color theme="0" tint="-0.14990691854609822"/>
      </top>
      <bottom style="medium">
        <color theme="0" tint="-0.14990691854609822"/>
      </bottom>
      <diagonal/>
    </border>
    <border>
      <left/>
      <right style="medium">
        <color theme="0" tint="-0.14990691854609822"/>
      </right>
      <top style="medium">
        <color theme="0" tint="-0.14993743705557422"/>
      </top>
      <bottom style="medium">
        <color theme="0" tint="-0.14993743705557422"/>
      </bottom>
      <diagonal/>
    </border>
    <border>
      <left style="medium">
        <color theme="0" tint="-0.14990691854609822"/>
      </left>
      <right style="medium">
        <color theme="0" tint="-0.14990691854609822"/>
      </right>
      <top style="medium">
        <color theme="0" tint="-0.14990691854609822"/>
      </top>
      <bottom style="medium">
        <color theme="0" tint="-0.14990691854609822"/>
      </bottom>
      <diagonal/>
    </border>
    <border>
      <left/>
      <right/>
      <top style="medium">
        <color theme="0" tint="-0.14990691854609822"/>
      </top>
      <bottom style="medium">
        <color theme="0" tint="-0.14990691854609822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14996795556505021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theme="0" tint="-0.14990691854609822"/>
      </left>
      <right/>
      <top style="medium">
        <color theme="0" tint="-0.14993743705557422"/>
      </top>
      <bottom style="medium">
        <color theme="0" tint="-0.14993743705557422"/>
      </bottom>
      <diagonal/>
    </border>
    <border>
      <left style="thin">
        <color theme="0" tint="-0.14996795556505021"/>
      </left>
      <right/>
      <top style="medium">
        <color theme="0" tint="-0.14993743705557422"/>
      </top>
      <bottom style="medium">
        <color theme="0" tint="-0.14993743705557422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 style="thin">
        <color theme="0" tint="-0.14996795556505021"/>
      </left>
      <right/>
      <top style="hair">
        <color auto="1"/>
      </top>
      <bottom style="thin">
        <color auto="1"/>
      </bottom>
      <diagonal/>
    </border>
    <border>
      <left style="hair">
        <color auto="1"/>
      </left>
      <right/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/>
      <top style="thin">
        <color auto="1"/>
      </top>
      <bottom/>
      <diagonal/>
    </border>
  </borders>
  <cellStyleXfs count="4">
    <xf numFmtId="0" fontId="0" fillId="0" borderId="0"/>
    <xf numFmtId="0" fontId="34" fillId="0" borderId="0"/>
    <xf numFmtId="0" fontId="45" fillId="0" borderId="0" applyNumberFormat="0" applyFill="0" applyBorder="0" applyAlignment="0" applyProtection="0"/>
    <xf numFmtId="186" fontId="34" fillId="0" borderId="0" applyFont="0" applyFill="0" applyBorder="0" applyAlignment="0" applyProtection="0"/>
  </cellStyleXfs>
  <cellXfs count="1028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vertical="center"/>
    </xf>
    <xf numFmtId="0" fontId="2" fillId="0" borderId="0" xfId="0" applyFont="1"/>
    <xf numFmtId="0" fontId="0" fillId="3" borderId="0" xfId="0" applyFill="1"/>
    <xf numFmtId="0" fontId="2" fillId="0" borderId="1" xfId="0" applyFont="1" applyBorder="1"/>
    <xf numFmtId="0" fontId="0" fillId="0" borderId="2" xfId="0" applyBorder="1"/>
    <xf numFmtId="0" fontId="0" fillId="3" borderId="0" xfId="0" applyFill="1" applyAlignment="1">
      <alignment vertical="center"/>
    </xf>
    <xf numFmtId="0" fontId="0" fillId="3" borderId="0" xfId="0" applyFill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0" fillId="3" borderId="0" xfId="0" applyFill="1" applyAlignment="1">
      <alignment horizontal="left"/>
    </xf>
    <xf numFmtId="0" fontId="9" fillId="0" borderId="0" xfId="0" applyFont="1"/>
    <xf numFmtId="0" fontId="7" fillId="3" borderId="0" xfId="0" applyFont="1" applyFill="1"/>
    <xf numFmtId="0" fontId="7" fillId="3" borderId="0" xfId="0" applyFont="1" applyFill="1" applyAlignment="1">
      <alignment horizontal="left" vertical="center"/>
    </xf>
    <xf numFmtId="0" fontId="7" fillId="3" borderId="0" xfId="0" applyFont="1" applyFill="1" applyAlignment="1">
      <alignment vertical="center"/>
    </xf>
    <xf numFmtId="10" fontId="0" fillId="0" borderId="0" xfId="0" applyNumberFormat="1"/>
    <xf numFmtId="0" fontId="20" fillId="0" borderId="0" xfId="0" applyFont="1"/>
    <xf numFmtId="165" fontId="0" fillId="0" borderId="0" xfId="0" applyNumberFormat="1" applyAlignment="1">
      <alignment horizontal="right"/>
    </xf>
    <xf numFmtId="0" fontId="23" fillId="0" borderId="0" xfId="0" applyFont="1"/>
    <xf numFmtId="0" fontId="23" fillId="0" borderId="0" xfId="0" applyFont="1" applyAlignment="1">
      <alignment vertical="center"/>
    </xf>
    <xf numFmtId="0" fontId="24" fillId="0" borderId="0" xfId="0" applyFont="1" applyAlignment="1">
      <alignment horizontal="center" vertical="center"/>
    </xf>
    <xf numFmtId="0" fontId="25" fillId="0" borderId="0" xfId="0" applyFont="1"/>
    <xf numFmtId="165" fontId="2" fillId="0" borderId="0" xfId="0" applyNumberFormat="1" applyFont="1" applyAlignment="1">
      <alignment horizontal="right"/>
    </xf>
    <xf numFmtId="0" fontId="32" fillId="0" borderId="0" xfId="0" applyFont="1"/>
    <xf numFmtId="49" fontId="4" fillId="0" borderId="0" xfId="0" applyNumberFormat="1" applyFont="1" applyAlignment="1">
      <alignment horizontal="center" vertical="center" wrapText="1"/>
    </xf>
    <xf numFmtId="2" fontId="4" fillId="0" borderId="0" xfId="0" applyNumberFormat="1" applyFont="1" applyAlignment="1">
      <alignment horizontal="center" vertical="center" wrapText="1"/>
    </xf>
    <xf numFmtId="0" fontId="0" fillId="3" borderId="0" xfId="0" applyFill="1" applyAlignment="1">
      <alignment horizontal="right"/>
    </xf>
    <xf numFmtId="0" fontId="2" fillId="3" borderId="0" xfId="0" applyFont="1" applyFill="1"/>
    <xf numFmtId="0" fontId="0" fillId="0" borderId="0" xfId="0" applyAlignment="1">
      <alignment horizontal="right"/>
    </xf>
    <xf numFmtId="0" fontId="2" fillId="0" borderId="0" xfId="0" applyFont="1" applyAlignment="1">
      <alignment horizontal="left"/>
    </xf>
    <xf numFmtId="0" fontId="15" fillId="0" borderId="0" xfId="0" applyFont="1" applyAlignment="1">
      <alignment vertical="center"/>
    </xf>
    <xf numFmtId="0" fontId="0" fillId="0" borderId="2" xfId="0" applyBorder="1" applyAlignment="1">
      <alignment horizontal="left"/>
    </xf>
    <xf numFmtId="49" fontId="4" fillId="0" borderId="2" xfId="0" applyNumberFormat="1" applyFont="1" applyBorder="1" applyAlignment="1">
      <alignment horizontal="center" vertical="center" wrapText="1"/>
    </xf>
    <xf numFmtId="2" fontId="4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/>
    <xf numFmtId="0" fontId="0" fillId="0" borderId="1" xfId="0" applyBorder="1" applyAlignment="1">
      <alignment horizontal="left"/>
    </xf>
    <xf numFmtId="0" fontId="0" fillId="0" borderId="1" xfId="0" applyBorder="1"/>
    <xf numFmtId="49" fontId="4" fillId="0" borderId="1" xfId="0" applyNumberFormat="1" applyFont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center" wrapText="1"/>
    </xf>
    <xf numFmtId="164" fontId="4" fillId="0" borderId="7" xfId="0" applyNumberFormat="1" applyFont="1" applyBorder="1" applyAlignment="1">
      <alignment horizontal="center" vertical="center" wrapText="1"/>
    </xf>
    <xf numFmtId="2" fontId="4" fillId="0" borderId="7" xfId="0" applyNumberFormat="1" applyFont="1" applyBorder="1" applyAlignment="1">
      <alignment horizontal="center" vertical="center" wrapText="1"/>
    </xf>
    <xf numFmtId="0" fontId="0" fillId="0" borderId="7" xfId="0" applyBorder="1"/>
    <xf numFmtId="0" fontId="7" fillId="3" borderId="8" xfId="0" applyFont="1" applyFill="1" applyBorder="1"/>
    <xf numFmtId="0" fontId="7" fillId="3" borderId="8" xfId="0" applyFont="1" applyFill="1" applyBorder="1" applyAlignment="1">
      <alignment horizontal="left" vertical="center"/>
    </xf>
    <xf numFmtId="0" fontId="7" fillId="3" borderId="8" xfId="0" applyFont="1" applyFill="1" applyBorder="1" applyAlignment="1">
      <alignment vertical="center"/>
    </xf>
    <xf numFmtId="0" fontId="19" fillId="3" borderId="8" xfId="0" applyFont="1" applyFill="1" applyBorder="1" applyAlignment="1">
      <alignment horizontal="left" vertical="center"/>
    </xf>
    <xf numFmtId="0" fontId="19" fillId="3" borderId="8" xfId="0" applyFont="1" applyFill="1" applyBorder="1" applyAlignment="1">
      <alignment horizontal="center" vertical="center"/>
    </xf>
    <xf numFmtId="0" fontId="0" fillId="3" borderId="8" xfId="0" applyFill="1" applyBorder="1" applyAlignment="1">
      <alignment vertical="center"/>
    </xf>
    <xf numFmtId="0" fontId="11" fillId="3" borderId="8" xfId="0" applyFont="1" applyFill="1" applyBorder="1" applyAlignment="1">
      <alignment horizontal="left" vertical="center"/>
    </xf>
    <xf numFmtId="0" fontId="3" fillId="3" borderId="8" xfId="0" applyFont="1" applyFill="1" applyBorder="1" applyAlignment="1">
      <alignment vertical="center"/>
    </xf>
    <xf numFmtId="165" fontId="7" fillId="3" borderId="8" xfId="0" applyNumberFormat="1" applyFont="1" applyFill="1" applyBorder="1" applyAlignment="1">
      <alignment vertical="center"/>
    </xf>
    <xf numFmtId="0" fontId="12" fillId="3" borderId="8" xfId="0" applyFont="1" applyFill="1" applyBorder="1"/>
    <xf numFmtId="0" fontId="0" fillId="0" borderId="6" xfId="0" applyBorder="1"/>
    <xf numFmtId="2" fontId="0" fillId="3" borderId="8" xfId="0" applyNumberForma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5" fillId="3" borderId="9" xfId="0" applyFont="1" applyFill="1" applyBorder="1" applyAlignment="1">
      <alignment horizontal="left" vertical="center"/>
    </xf>
    <xf numFmtId="0" fontId="35" fillId="3" borderId="10" xfId="0" applyFont="1" applyFill="1" applyBorder="1" applyAlignment="1">
      <alignment horizontal="left" vertical="center"/>
    </xf>
    <xf numFmtId="0" fontId="35" fillId="3" borderId="11" xfId="0" applyFont="1" applyFill="1" applyBorder="1" applyAlignment="1">
      <alignment horizontal="left" vertical="center"/>
    </xf>
    <xf numFmtId="0" fontId="7" fillId="3" borderId="12" xfId="0" applyFont="1" applyFill="1" applyBorder="1" applyAlignment="1">
      <alignment vertical="center"/>
    </xf>
    <xf numFmtId="0" fontId="7" fillId="3" borderId="13" xfId="0" applyFont="1" applyFill="1" applyBorder="1" applyAlignment="1">
      <alignment vertical="center"/>
    </xf>
    <xf numFmtId="0" fontId="7" fillId="3" borderId="15" xfId="0" applyFont="1" applyFill="1" applyBorder="1" applyAlignment="1">
      <alignment vertical="center"/>
    </xf>
    <xf numFmtId="0" fontId="7" fillId="3" borderId="16" xfId="0" applyFont="1" applyFill="1" applyBorder="1" applyAlignment="1">
      <alignment vertical="center"/>
    </xf>
    <xf numFmtId="0" fontId="7" fillId="3" borderId="17" xfId="0" applyFont="1" applyFill="1" applyBorder="1" applyAlignment="1">
      <alignment vertical="center"/>
    </xf>
    <xf numFmtId="0" fontId="7" fillId="3" borderId="18" xfId="0" applyFont="1" applyFill="1" applyBorder="1" applyAlignment="1">
      <alignment vertical="center"/>
    </xf>
    <xf numFmtId="0" fontId="7" fillId="3" borderId="19" xfId="0" applyFont="1" applyFill="1" applyBorder="1" applyAlignment="1">
      <alignment vertical="center"/>
    </xf>
    <xf numFmtId="0" fontId="7" fillId="3" borderId="15" xfId="0" applyFont="1" applyFill="1" applyBorder="1" applyAlignment="1">
      <alignment horizontal="right" vertical="center"/>
    </xf>
    <xf numFmtId="0" fontId="7" fillId="0" borderId="0" xfId="0" applyFont="1" applyAlignment="1">
      <alignment vertical="center"/>
    </xf>
    <xf numFmtId="0" fontId="7" fillId="3" borderId="0" xfId="0" applyFont="1" applyFill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7" fillId="3" borderId="8" xfId="0" applyFont="1" applyFill="1" applyBorder="1" applyAlignment="1">
      <alignment horizontal="right" vertical="center"/>
    </xf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5" xfId="0" applyBorder="1"/>
    <xf numFmtId="0" fontId="0" fillId="0" borderId="25" xfId="0" applyBorder="1"/>
    <xf numFmtId="0" fontId="0" fillId="0" borderId="29" xfId="0" applyBorder="1"/>
    <xf numFmtId="0" fontId="2" fillId="0" borderId="30" xfId="0" applyFont="1" applyBorder="1"/>
    <xf numFmtId="0" fontId="0" fillId="0" borderId="31" xfId="0" applyBorder="1"/>
    <xf numFmtId="0" fontId="0" fillId="0" borderId="32" xfId="0" applyBorder="1"/>
    <xf numFmtId="0" fontId="0" fillId="0" borderId="33" xfId="0" applyBorder="1"/>
    <xf numFmtId="0" fontId="2" fillId="0" borderId="34" xfId="0" applyFont="1" applyBorder="1"/>
    <xf numFmtId="0" fontId="2" fillId="0" borderId="22" xfId="0" applyFont="1" applyBorder="1"/>
    <xf numFmtId="0" fontId="2" fillId="0" borderId="32" xfId="0" applyFont="1" applyBorder="1"/>
    <xf numFmtId="0" fontId="0" fillId="7" borderId="27" xfId="0" applyFill="1" applyBorder="1"/>
    <xf numFmtId="49" fontId="0" fillId="0" borderId="0" xfId="0" applyNumberFormat="1"/>
    <xf numFmtId="2" fontId="7" fillId="0" borderId="0" xfId="0" applyNumberFormat="1" applyFont="1" applyAlignment="1">
      <alignment vertical="center"/>
    </xf>
    <xf numFmtId="0" fontId="7" fillId="0" borderId="18" xfId="0" applyFont="1" applyBorder="1" applyAlignment="1">
      <alignment horizontal="center" vertical="center"/>
    </xf>
    <xf numFmtId="0" fontId="36" fillId="0" borderId="0" xfId="0" applyFont="1" applyAlignment="1">
      <alignment horizontal="right"/>
    </xf>
    <xf numFmtId="0" fontId="36" fillId="0" borderId="0" xfId="0" applyFont="1" applyAlignment="1">
      <alignment horizontal="left"/>
    </xf>
    <xf numFmtId="0" fontId="36" fillId="0" borderId="0" xfId="0" applyFont="1"/>
    <xf numFmtId="0" fontId="36" fillId="0" borderId="0" xfId="0" applyFont="1" applyAlignment="1">
      <alignment vertical="top" wrapText="1"/>
    </xf>
    <xf numFmtId="0" fontId="36" fillId="0" borderId="0" xfId="0" applyFont="1" applyAlignment="1">
      <alignment horizontal="right" vertical="center"/>
    </xf>
    <xf numFmtId="4" fontId="36" fillId="0" borderId="0" xfId="0" applyNumberFormat="1" applyFont="1" applyAlignment="1">
      <alignment horizontal="left" vertical="center"/>
    </xf>
    <xf numFmtId="0" fontId="36" fillId="0" borderId="0" xfId="0" applyFont="1" applyAlignment="1">
      <alignment vertical="center"/>
    </xf>
    <xf numFmtId="168" fontId="36" fillId="0" borderId="0" xfId="0" applyNumberFormat="1" applyFont="1" applyAlignment="1">
      <alignment horizontal="left" vertical="center"/>
    </xf>
    <xf numFmtId="0" fontId="36" fillId="0" borderId="0" xfId="0" applyFont="1" applyAlignment="1">
      <alignment horizontal="left" vertical="center"/>
    </xf>
    <xf numFmtId="0" fontId="38" fillId="0" borderId="0" xfId="0" applyFont="1" applyAlignment="1">
      <alignment horizontal="right" vertical="center"/>
    </xf>
    <xf numFmtId="0" fontId="38" fillId="0" borderId="0" xfId="0" applyFont="1" applyAlignment="1">
      <alignment horizontal="left" vertical="center"/>
    </xf>
    <xf numFmtId="0" fontId="38" fillId="0" borderId="0" xfId="0" applyFont="1" applyAlignment="1">
      <alignment horizontal="center" vertical="center"/>
    </xf>
    <xf numFmtId="0" fontId="39" fillId="0" borderId="0" xfId="0" applyFont="1" applyAlignment="1">
      <alignment horizontal="left"/>
    </xf>
    <xf numFmtId="0" fontId="39" fillId="0" borderId="0" xfId="0" applyFont="1"/>
    <xf numFmtId="0" fontId="40" fillId="0" borderId="0" xfId="0" applyFont="1" applyAlignment="1">
      <alignment horizontal="right"/>
    </xf>
    <xf numFmtId="0" fontId="40" fillId="0" borderId="0" xfId="0" applyFont="1" applyAlignment="1">
      <alignment horizontal="left"/>
    </xf>
    <xf numFmtId="0" fontId="40" fillId="0" borderId="0" xfId="0" applyFont="1"/>
    <xf numFmtId="167" fontId="0" fillId="0" borderId="0" xfId="0" applyNumberFormat="1" applyAlignment="1">
      <alignment horizontal="left"/>
    </xf>
    <xf numFmtId="0" fontId="7" fillId="0" borderId="0" xfId="0" applyFont="1"/>
    <xf numFmtId="0" fontId="41" fillId="0" borderId="0" xfId="0" applyFont="1"/>
    <xf numFmtId="165" fontId="41" fillId="0" borderId="0" xfId="0" applyNumberFormat="1" applyFont="1"/>
    <xf numFmtId="165" fontId="7" fillId="0" borderId="0" xfId="0" applyNumberFormat="1" applyFont="1" applyAlignment="1">
      <alignment horizontal="right"/>
    </xf>
    <xf numFmtId="0" fontId="42" fillId="0" borderId="0" xfId="0" applyFont="1"/>
    <xf numFmtId="0" fontId="43" fillId="0" borderId="0" xfId="0" applyFont="1" applyAlignment="1">
      <alignment horizontal="right"/>
    </xf>
    <xf numFmtId="0" fontId="43" fillId="0" borderId="0" xfId="0" applyFont="1" applyAlignment="1">
      <alignment horizontal="left"/>
    </xf>
    <xf numFmtId="0" fontId="43" fillId="0" borderId="0" xfId="0" applyFont="1"/>
    <xf numFmtId="170" fontId="0" fillId="0" borderId="0" xfId="0" applyNumberFormat="1" applyAlignment="1">
      <alignment horizontal="right"/>
    </xf>
    <xf numFmtId="171" fontId="36" fillId="0" borderId="0" xfId="0" applyNumberFormat="1" applyFont="1" applyAlignment="1">
      <alignment horizontal="right"/>
    </xf>
    <xf numFmtId="171" fontId="39" fillId="0" borderId="0" xfId="0" applyNumberFormat="1" applyFont="1" applyAlignment="1">
      <alignment horizontal="right"/>
    </xf>
    <xf numFmtId="169" fontId="0" fillId="0" borderId="0" xfId="0" applyNumberFormat="1" applyAlignment="1">
      <alignment horizontal="left"/>
    </xf>
    <xf numFmtId="0" fontId="0" fillId="0" borderId="0" xfId="0" applyAlignment="1">
      <alignment horizontal="center"/>
    </xf>
    <xf numFmtId="166" fontId="0" fillId="0" borderId="0" xfId="0" applyNumberFormat="1" applyAlignment="1">
      <alignment horizontal="left"/>
    </xf>
    <xf numFmtId="0" fontId="0" fillId="0" borderId="6" xfId="0" applyBorder="1" applyAlignment="1">
      <alignment horizontal="right"/>
    </xf>
    <xf numFmtId="169" fontId="0" fillId="0" borderId="6" xfId="0" applyNumberFormat="1" applyBorder="1" applyAlignment="1">
      <alignment horizontal="left"/>
    </xf>
    <xf numFmtId="166" fontId="0" fillId="0" borderId="6" xfId="0" applyNumberFormat="1" applyBorder="1" applyAlignment="1">
      <alignment horizontal="left"/>
    </xf>
    <xf numFmtId="0" fontId="15" fillId="0" borderId="0" xfId="0" applyFont="1" applyAlignment="1">
      <alignment horizontal="right" vertical="center"/>
    </xf>
    <xf numFmtId="167" fontId="0" fillId="0" borderId="0" xfId="0" applyNumberFormat="1" applyAlignment="1">
      <alignment horizontal="left" vertical="center"/>
    </xf>
    <xf numFmtId="0" fontId="7" fillId="0" borderId="0" xfId="0" applyFont="1" applyAlignment="1">
      <alignment horizontal="right" vertical="center"/>
    </xf>
    <xf numFmtId="0" fontId="44" fillId="3" borderId="0" xfId="0" applyFont="1" applyFill="1" applyAlignment="1">
      <alignment horizontal="left" vertical="center"/>
    </xf>
    <xf numFmtId="2" fontId="7" fillId="0" borderId="0" xfId="0" applyNumberFormat="1" applyFont="1" applyAlignment="1">
      <alignment horizontal="right" vertical="center"/>
    </xf>
    <xf numFmtId="2" fontId="36" fillId="0" borderId="0" xfId="0" applyNumberFormat="1" applyFont="1" applyAlignment="1">
      <alignment vertical="center"/>
    </xf>
    <xf numFmtId="0" fontId="44" fillId="0" borderId="0" xfId="0" applyFont="1"/>
    <xf numFmtId="172" fontId="0" fillId="0" borderId="0" xfId="0" applyNumberFormat="1" applyAlignment="1">
      <alignment horizontal="left"/>
    </xf>
    <xf numFmtId="0" fontId="44" fillId="0" borderId="0" xfId="0" applyFont="1" applyAlignment="1">
      <alignment horizontal="left" vertical="center"/>
    </xf>
    <xf numFmtId="1" fontId="0" fillId="0" borderId="0" xfId="0" applyNumberFormat="1" applyAlignment="1">
      <alignment horizontal="left"/>
    </xf>
    <xf numFmtId="0" fontId="7" fillId="3" borderId="15" xfId="0" applyFont="1" applyFill="1" applyBorder="1" applyAlignment="1">
      <alignment horizontal="left" vertical="center"/>
    </xf>
    <xf numFmtId="0" fontId="7" fillId="3" borderId="16" xfId="0" applyFont="1" applyFill="1" applyBorder="1" applyAlignment="1">
      <alignment horizontal="left" vertical="center"/>
    </xf>
    <xf numFmtId="0" fontId="7" fillId="3" borderId="18" xfId="0" applyFont="1" applyFill="1" applyBorder="1" applyAlignment="1">
      <alignment horizontal="left" vertical="center"/>
    </xf>
    <xf numFmtId="0" fontId="7" fillId="3" borderId="19" xfId="0" applyFont="1" applyFill="1" applyBorder="1" applyAlignment="1">
      <alignment horizontal="left" vertical="center"/>
    </xf>
    <xf numFmtId="2" fontId="0" fillId="0" borderId="0" xfId="0" applyNumberFormat="1"/>
    <xf numFmtId="2" fontId="7" fillId="0" borderId="0" xfId="0" applyNumberFormat="1" applyFont="1" applyAlignment="1">
      <alignment horizontal="left" vertical="center"/>
    </xf>
    <xf numFmtId="2" fontId="7" fillId="3" borderId="0" xfId="0" applyNumberFormat="1" applyFont="1" applyFill="1" applyAlignment="1">
      <alignment vertical="center"/>
    </xf>
    <xf numFmtId="0" fontId="36" fillId="0" borderId="0" xfId="0" applyFont="1" applyAlignment="1">
      <alignment horizontal="left" vertical="top" wrapText="1"/>
    </xf>
    <xf numFmtId="4" fontId="36" fillId="0" borderId="0" xfId="0" applyNumberFormat="1" applyFont="1" applyAlignment="1">
      <alignment vertical="center"/>
    </xf>
    <xf numFmtId="168" fontId="36" fillId="0" borderId="0" xfId="0" applyNumberFormat="1" applyFont="1" applyAlignment="1">
      <alignment vertical="center"/>
    </xf>
    <xf numFmtId="0" fontId="0" fillId="0" borderId="5" xfId="0" applyBorder="1" applyAlignment="1">
      <alignment horizontal="right"/>
    </xf>
    <xf numFmtId="169" fontId="0" fillId="0" borderId="5" xfId="0" applyNumberFormat="1" applyBorder="1" applyAlignment="1">
      <alignment horizontal="left"/>
    </xf>
    <xf numFmtId="0" fontId="0" fillId="0" borderId="5" xfId="0" applyBorder="1" applyAlignment="1">
      <alignment horizontal="center"/>
    </xf>
    <xf numFmtId="0" fontId="0" fillId="0" borderId="5" xfId="0" applyBorder="1" applyAlignment="1">
      <alignment vertical="center"/>
    </xf>
    <xf numFmtId="170" fontId="0" fillId="0" borderId="5" xfId="0" applyNumberFormat="1" applyBorder="1" applyAlignment="1">
      <alignment horizontal="right"/>
    </xf>
    <xf numFmtId="0" fontId="15" fillId="0" borderId="0" xfId="0" applyFont="1"/>
    <xf numFmtId="173" fontId="36" fillId="0" borderId="0" xfId="0" applyNumberFormat="1" applyFont="1" applyAlignment="1">
      <alignment vertical="center"/>
    </xf>
    <xf numFmtId="0" fontId="7" fillId="3" borderId="11" xfId="0" applyFont="1" applyFill="1" applyBorder="1" applyAlignment="1">
      <alignment vertical="center"/>
    </xf>
    <xf numFmtId="0" fontId="36" fillId="0" borderId="0" xfId="0" applyFont="1" applyAlignment="1">
      <alignment horizontal="left" vertical="top"/>
    </xf>
    <xf numFmtId="2" fontId="7" fillId="3" borderId="0" xfId="0" applyNumberFormat="1" applyFont="1" applyFill="1" applyAlignment="1">
      <alignment horizontal="right" vertical="center"/>
    </xf>
    <xf numFmtId="0" fontId="3" fillId="3" borderId="0" xfId="0" applyFont="1" applyFill="1" applyAlignment="1">
      <alignment vertical="center" wrapText="1"/>
    </xf>
    <xf numFmtId="173" fontId="0" fillId="0" borderId="0" xfId="0" applyNumberFormat="1"/>
    <xf numFmtId="173" fontId="0" fillId="0" borderId="23" xfId="0" applyNumberFormat="1" applyBorder="1"/>
    <xf numFmtId="173" fontId="0" fillId="0" borderId="5" xfId="0" applyNumberFormat="1" applyBorder="1"/>
    <xf numFmtId="173" fontId="0" fillId="0" borderId="25" xfId="0" applyNumberFormat="1" applyBorder="1"/>
    <xf numFmtId="1" fontId="0" fillId="0" borderId="21" xfId="0" applyNumberFormat="1" applyBorder="1"/>
    <xf numFmtId="1" fontId="0" fillId="0" borderId="23" xfId="0" applyNumberFormat="1" applyBorder="1"/>
    <xf numFmtId="1" fontId="0" fillId="0" borderId="0" xfId="0" applyNumberFormat="1"/>
    <xf numFmtId="1" fontId="0" fillId="0" borderId="20" xfId="0" applyNumberFormat="1" applyBorder="1"/>
    <xf numFmtId="1" fontId="0" fillId="0" borderId="22" xfId="0" applyNumberFormat="1" applyBorder="1"/>
    <xf numFmtId="1" fontId="0" fillId="0" borderId="24" xfId="0" applyNumberFormat="1" applyBorder="1"/>
    <xf numFmtId="0" fontId="3" fillId="3" borderId="0" xfId="0" applyFont="1" applyFill="1" applyAlignment="1">
      <alignment vertical="center"/>
    </xf>
    <xf numFmtId="0" fontId="3" fillId="3" borderId="0" xfId="0" applyFont="1" applyFill="1" applyAlignment="1">
      <alignment horizontal="right" vertical="center"/>
    </xf>
    <xf numFmtId="0" fontId="3" fillId="3" borderId="0" xfId="0" applyFont="1" applyFill="1" applyAlignment="1">
      <alignment horizontal="left" vertical="center"/>
    </xf>
    <xf numFmtId="174" fontId="0" fillId="0" borderId="0" xfId="0" applyNumberFormat="1" applyAlignment="1">
      <alignment horizontal="right"/>
    </xf>
    <xf numFmtId="174" fontId="0" fillId="0" borderId="6" xfId="0" applyNumberFormat="1" applyBorder="1" applyAlignment="1">
      <alignment horizontal="right"/>
    </xf>
    <xf numFmtId="0" fontId="0" fillId="0" borderId="6" xfId="0" applyBorder="1" applyAlignment="1">
      <alignment vertical="center"/>
    </xf>
    <xf numFmtId="175" fontId="0" fillId="0" borderId="0" xfId="0" applyNumberFormat="1" applyAlignment="1">
      <alignment horizontal="right"/>
    </xf>
    <xf numFmtId="0" fontId="36" fillId="0" borderId="0" xfId="0" applyFont="1" applyAlignment="1">
      <alignment vertical="top"/>
    </xf>
    <xf numFmtId="0" fontId="0" fillId="0" borderId="22" xfId="0" applyBorder="1" applyAlignment="1">
      <alignment horizontal="left"/>
    </xf>
    <xf numFmtId="0" fontId="0" fillId="0" borderId="24" xfId="0" applyBorder="1" applyAlignment="1">
      <alignment horizontal="left"/>
    </xf>
    <xf numFmtId="0" fontId="0" fillId="0" borderId="20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21" xfId="0" applyBorder="1" applyAlignment="1">
      <alignment horizontal="left"/>
    </xf>
    <xf numFmtId="173" fontId="0" fillId="0" borderId="0" xfId="0" applyNumberFormat="1" applyAlignment="1">
      <alignment horizontal="left"/>
    </xf>
    <xf numFmtId="173" fontId="0" fillId="0" borderId="23" xfId="0" applyNumberFormat="1" applyBorder="1" applyAlignment="1">
      <alignment horizontal="left"/>
    </xf>
    <xf numFmtId="173" fontId="0" fillId="0" borderId="5" xfId="0" applyNumberFormat="1" applyBorder="1" applyAlignment="1">
      <alignment horizontal="left"/>
    </xf>
    <xf numFmtId="173" fontId="0" fillId="0" borderId="25" xfId="0" applyNumberFormat="1" applyBorder="1" applyAlignment="1">
      <alignment horizontal="left"/>
    </xf>
    <xf numFmtId="1" fontId="0" fillId="0" borderId="20" xfId="0" applyNumberFormat="1" applyBorder="1" applyAlignment="1">
      <alignment horizontal="left"/>
    </xf>
    <xf numFmtId="1" fontId="0" fillId="0" borderId="21" xfId="0" applyNumberFormat="1" applyBorder="1" applyAlignment="1">
      <alignment horizontal="left"/>
    </xf>
    <xf numFmtId="1" fontId="0" fillId="0" borderId="22" xfId="0" applyNumberFormat="1" applyBorder="1" applyAlignment="1">
      <alignment horizontal="left"/>
    </xf>
    <xf numFmtId="1" fontId="0" fillId="0" borderId="23" xfId="0" applyNumberFormat="1" applyBorder="1" applyAlignment="1">
      <alignment horizontal="left"/>
    </xf>
    <xf numFmtId="1" fontId="0" fillId="0" borderId="24" xfId="0" applyNumberFormat="1" applyBorder="1" applyAlignment="1">
      <alignment horizontal="left"/>
    </xf>
    <xf numFmtId="1" fontId="0" fillId="0" borderId="25" xfId="0" applyNumberFormat="1" applyBorder="1" applyAlignment="1">
      <alignment horizontal="left"/>
    </xf>
    <xf numFmtId="2" fontId="0" fillId="0" borderId="23" xfId="0" applyNumberFormat="1" applyBorder="1"/>
    <xf numFmtId="2" fontId="0" fillId="0" borderId="25" xfId="0" applyNumberFormat="1" applyBorder="1"/>
    <xf numFmtId="2" fontId="36" fillId="0" borderId="0" xfId="0" applyNumberFormat="1" applyFont="1" applyAlignment="1">
      <alignment horizontal="right" vertical="center"/>
    </xf>
    <xf numFmtId="0" fontId="7" fillId="0" borderId="16" xfId="0" applyFont="1" applyBorder="1" applyAlignment="1">
      <alignment horizontal="center" vertical="center"/>
    </xf>
    <xf numFmtId="0" fontId="7" fillId="3" borderId="6" xfId="0" applyFont="1" applyFill="1" applyBorder="1" applyAlignment="1">
      <alignment vertical="center"/>
    </xf>
    <xf numFmtId="0" fontId="7" fillId="3" borderId="6" xfId="0" applyFont="1" applyFill="1" applyBorder="1" applyAlignment="1">
      <alignment horizontal="right" vertical="center"/>
    </xf>
    <xf numFmtId="176" fontId="0" fillId="0" borderId="0" xfId="0" applyNumberFormat="1" applyAlignment="1">
      <alignment horizontal="center"/>
    </xf>
    <xf numFmtId="167" fontId="0" fillId="0" borderId="0" xfId="0" applyNumberFormat="1" applyAlignment="1">
      <alignment horizontal="center"/>
    </xf>
    <xf numFmtId="49" fontId="0" fillId="0" borderId="22" xfId="0" applyNumberFormat="1" applyBorder="1"/>
    <xf numFmtId="49" fontId="0" fillId="0" borderId="24" xfId="0" applyNumberFormat="1" applyBorder="1"/>
    <xf numFmtId="0" fontId="3" fillId="0" borderId="0" xfId="0" applyFont="1" applyAlignment="1">
      <alignment horizontal="center"/>
    </xf>
    <xf numFmtId="0" fontId="3" fillId="3" borderId="15" xfId="0" applyFont="1" applyFill="1" applyBorder="1" applyAlignment="1">
      <alignment horizontal="center" vertical="center" wrapText="1"/>
    </xf>
    <xf numFmtId="0" fontId="7" fillId="3" borderId="11" xfId="0" applyFont="1" applyFill="1" applyBorder="1"/>
    <xf numFmtId="0" fontId="7" fillId="3" borderId="11" xfId="0" applyFont="1" applyFill="1" applyBorder="1" applyAlignment="1">
      <alignment horizontal="left" vertical="center"/>
    </xf>
    <xf numFmtId="179" fontId="7" fillId="3" borderId="0" xfId="0" applyNumberFormat="1" applyFont="1" applyFill="1" applyAlignment="1">
      <alignment horizontal="left" vertical="center"/>
    </xf>
    <xf numFmtId="178" fontId="36" fillId="0" borderId="0" xfId="0" applyNumberFormat="1" applyFont="1" applyAlignment="1">
      <alignment horizontal="right" vertical="center"/>
    </xf>
    <xf numFmtId="172" fontId="0" fillId="0" borderId="0" xfId="0" applyNumberFormat="1"/>
    <xf numFmtId="0" fontId="44" fillId="0" borderId="6" xfId="0" applyFont="1" applyBorder="1" applyAlignment="1">
      <alignment vertical="center" wrapText="1"/>
    </xf>
    <xf numFmtId="172" fontId="44" fillId="0" borderId="6" xfId="0" applyNumberFormat="1" applyFont="1" applyBorder="1" applyAlignment="1">
      <alignment vertical="center" wrapText="1"/>
    </xf>
    <xf numFmtId="179" fontId="0" fillId="0" borderId="0" xfId="0" applyNumberFormat="1" applyAlignment="1">
      <alignment horizontal="left"/>
    </xf>
    <xf numFmtId="172" fontId="0" fillId="0" borderId="6" xfId="0" applyNumberFormat="1" applyBorder="1" applyAlignment="1">
      <alignment vertical="center" wrapText="1"/>
    </xf>
    <xf numFmtId="0" fontId="0" fillId="0" borderId="6" xfId="0" applyBorder="1" applyAlignment="1">
      <alignment horizontal="center"/>
    </xf>
    <xf numFmtId="0" fontId="3" fillId="3" borderId="15" xfId="0" applyFont="1" applyFill="1" applyBorder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13" fillId="3" borderId="15" xfId="0" applyFont="1" applyFill="1" applyBorder="1" applyAlignment="1">
      <alignment vertical="center" wrapText="1"/>
    </xf>
    <xf numFmtId="0" fontId="46" fillId="3" borderId="0" xfId="0" applyFont="1" applyFill="1" applyAlignment="1">
      <alignment horizontal="right" vertical="center" wrapText="1"/>
    </xf>
    <xf numFmtId="0" fontId="46" fillId="3" borderId="0" xfId="0" applyFont="1" applyFill="1" applyAlignment="1">
      <alignment horizontal="right" wrapText="1"/>
    </xf>
    <xf numFmtId="0" fontId="46" fillId="3" borderId="16" xfId="0" applyFont="1" applyFill="1" applyBorder="1" applyAlignment="1">
      <alignment wrapText="1"/>
    </xf>
    <xf numFmtId="0" fontId="13" fillId="0" borderId="0" xfId="0" applyFont="1" applyAlignment="1">
      <alignment horizontal="right" vertical="center" wrapText="1"/>
    </xf>
    <xf numFmtId="0" fontId="13" fillId="0" borderId="0" xfId="0" applyFont="1" applyAlignment="1">
      <alignment vertical="center"/>
    </xf>
    <xf numFmtId="0" fontId="47" fillId="0" borderId="0" xfId="0" applyFont="1"/>
    <xf numFmtId="0" fontId="47" fillId="0" borderId="0" xfId="0" applyFont="1" applyAlignment="1">
      <alignment horizontal="left"/>
    </xf>
    <xf numFmtId="0" fontId="47" fillId="0" borderId="0" xfId="0" applyFont="1" applyAlignment="1">
      <alignment vertical="center"/>
    </xf>
    <xf numFmtId="2" fontId="47" fillId="0" borderId="0" xfId="0" applyNumberFormat="1" applyFont="1" applyAlignment="1">
      <alignment horizontal="right" vertical="center"/>
    </xf>
    <xf numFmtId="4" fontId="47" fillId="0" borderId="0" xfId="0" applyNumberFormat="1" applyFont="1" applyAlignment="1">
      <alignment vertical="center"/>
    </xf>
    <xf numFmtId="0" fontId="47" fillId="0" borderId="0" xfId="0" applyFont="1" applyAlignment="1">
      <alignment horizontal="left" vertical="center"/>
    </xf>
    <xf numFmtId="0" fontId="47" fillId="0" borderId="0" xfId="0" applyFont="1" applyAlignment="1">
      <alignment horizontal="right" vertical="center"/>
    </xf>
    <xf numFmtId="0" fontId="47" fillId="0" borderId="0" xfId="0" applyFont="1" applyAlignment="1">
      <alignment horizontal="right"/>
    </xf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horizontal="left" vertical="center"/>
    </xf>
    <xf numFmtId="2" fontId="0" fillId="0" borderId="5" xfId="0" applyNumberFormat="1" applyBorder="1"/>
    <xf numFmtId="164" fontId="47" fillId="0" borderId="0" xfId="0" applyNumberFormat="1" applyFont="1"/>
    <xf numFmtId="0" fontId="15" fillId="0" borderId="0" xfId="0" applyFont="1" applyAlignment="1">
      <alignment vertical="center" wrapText="1"/>
    </xf>
    <xf numFmtId="0" fontId="3" fillId="0" borderId="0" xfId="0" applyFont="1"/>
    <xf numFmtId="0" fontId="15" fillId="0" borderId="0" xfId="0" applyFont="1" applyAlignment="1">
      <alignment horizontal="center" vertical="center" wrapText="1"/>
    </xf>
    <xf numFmtId="0" fontId="15" fillId="0" borderId="6" xfId="0" applyFont="1" applyBorder="1" applyAlignment="1">
      <alignment vertical="center" wrapText="1"/>
    </xf>
    <xf numFmtId="0" fontId="15" fillId="0" borderId="0" xfId="0" applyFont="1" applyAlignment="1">
      <alignment horizontal="left" vertical="center"/>
    </xf>
    <xf numFmtId="0" fontId="7" fillId="0" borderId="0" xfId="0" applyFont="1" applyAlignment="1">
      <alignment horizontal="left"/>
    </xf>
    <xf numFmtId="165" fontId="7" fillId="0" borderId="0" xfId="0" applyNumberFormat="1" applyFont="1" applyAlignment="1">
      <alignment horizontal="left"/>
    </xf>
    <xf numFmtId="0" fontId="46" fillId="0" borderId="0" xfId="0" applyFont="1" applyAlignment="1">
      <alignment vertical="center" wrapText="1"/>
    </xf>
    <xf numFmtId="0" fontId="48" fillId="0" borderId="0" xfId="0" applyFont="1" applyAlignment="1">
      <alignment horizontal="left" vertical="center"/>
    </xf>
    <xf numFmtId="0" fontId="3" fillId="3" borderId="15" xfId="0" applyFont="1" applyFill="1" applyBorder="1" applyAlignment="1">
      <alignment vertical="center"/>
    </xf>
    <xf numFmtId="170" fontId="0" fillId="0" borderId="0" xfId="0" applyNumberFormat="1" applyAlignment="1">
      <alignment horizontal="left"/>
    </xf>
    <xf numFmtId="1" fontId="0" fillId="0" borderId="25" xfId="0" applyNumberFormat="1" applyBorder="1"/>
    <xf numFmtId="1" fontId="0" fillId="0" borderId="6" xfId="0" applyNumberFormat="1" applyBorder="1"/>
    <xf numFmtId="1" fontId="0" fillId="0" borderId="5" xfId="0" applyNumberFormat="1" applyBorder="1"/>
    <xf numFmtId="173" fontId="36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top" wrapText="1"/>
    </xf>
    <xf numFmtId="0" fontId="0" fillId="0" borderId="0" xfId="0" applyAlignment="1">
      <alignment horizontal="left" vertical="center"/>
    </xf>
    <xf numFmtId="49" fontId="0" fillId="3" borderId="0" xfId="0" applyNumberFormat="1" applyFill="1" applyAlignment="1">
      <alignment horizontal="right"/>
    </xf>
    <xf numFmtId="49" fontId="0" fillId="0" borderId="0" xfId="0" applyNumberFormat="1" applyAlignment="1">
      <alignment horizontal="right"/>
    </xf>
    <xf numFmtId="181" fontId="49" fillId="0" borderId="0" xfId="0" applyNumberFormat="1" applyFont="1" applyAlignment="1">
      <alignment horizontal="left"/>
    </xf>
    <xf numFmtId="0" fontId="49" fillId="0" borderId="0" xfId="0" applyFont="1" applyAlignment="1">
      <alignment horizontal="right"/>
    </xf>
    <xf numFmtId="0" fontId="49" fillId="0" borderId="0" xfId="0" applyFont="1"/>
    <xf numFmtId="181" fontId="49" fillId="0" borderId="0" xfId="0" applyNumberFormat="1" applyFont="1"/>
    <xf numFmtId="2" fontId="13" fillId="3" borderId="8" xfId="0" applyNumberFormat="1" applyFont="1" applyFill="1" applyBorder="1" applyAlignment="1">
      <alignment horizontal="center" vertical="center"/>
    </xf>
    <xf numFmtId="2" fontId="7" fillId="4" borderId="8" xfId="0" applyNumberFormat="1" applyFont="1" applyFill="1" applyBorder="1" applyAlignment="1">
      <alignment horizontal="center" vertical="center"/>
    </xf>
    <xf numFmtId="0" fontId="13" fillId="3" borderId="8" xfId="0" applyFont="1" applyFill="1" applyBorder="1" applyAlignment="1">
      <alignment horizontal="left" vertical="center"/>
    </xf>
    <xf numFmtId="0" fontId="49" fillId="0" borderId="0" xfId="0" applyFont="1" applyAlignment="1">
      <alignment horizontal="center"/>
    </xf>
    <xf numFmtId="0" fontId="49" fillId="0" borderId="0" xfId="0" applyFont="1" applyAlignment="1">
      <alignment horizontal="left"/>
    </xf>
    <xf numFmtId="1" fontId="0" fillId="3" borderId="8" xfId="0" applyNumberFormat="1" applyFill="1" applyBorder="1" applyAlignment="1">
      <alignment horizontal="center" vertical="center"/>
    </xf>
    <xf numFmtId="0" fontId="19" fillId="3" borderId="10" xfId="0" applyFont="1" applyFill="1" applyBorder="1" applyAlignment="1">
      <alignment horizontal="center" vertical="center"/>
    </xf>
    <xf numFmtId="0" fontId="19" fillId="3" borderId="9" xfId="0" applyFont="1" applyFill="1" applyBorder="1" applyAlignment="1">
      <alignment horizontal="center" vertical="center"/>
    </xf>
    <xf numFmtId="0" fontId="3" fillId="3" borderId="8" xfId="0" applyFont="1" applyFill="1" applyBorder="1"/>
    <xf numFmtId="0" fontId="7" fillId="4" borderId="8" xfId="0" applyFont="1" applyFill="1" applyBorder="1" applyAlignment="1">
      <alignment horizontal="center" vertical="center"/>
    </xf>
    <xf numFmtId="0" fontId="11" fillId="3" borderId="8" xfId="0" applyFont="1" applyFill="1" applyBorder="1" applyAlignment="1">
      <alignment horizontal="right" vertical="center"/>
    </xf>
    <xf numFmtId="167" fontId="7" fillId="4" borderId="8" xfId="0" applyNumberFormat="1" applyFont="1" applyFill="1" applyBorder="1" applyAlignment="1">
      <alignment horizontal="center" vertical="center"/>
    </xf>
    <xf numFmtId="2" fontId="0" fillId="0" borderId="0" xfId="0" applyNumberFormat="1" applyAlignment="1">
      <alignment horizontal="left"/>
    </xf>
    <xf numFmtId="0" fontId="0" fillId="0" borderId="44" xfId="0" applyBorder="1"/>
    <xf numFmtId="0" fontId="0" fillId="0" borderId="45" xfId="0" applyBorder="1"/>
    <xf numFmtId="0" fontId="4" fillId="2" borderId="35" xfId="0" applyFont="1" applyFill="1" applyBorder="1" applyAlignment="1">
      <alignment horizontal="center" vertical="center" wrapText="1"/>
    </xf>
    <xf numFmtId="0" fontId="50" fillId="2" borderId="35" xfId="0" applyFont="1" applyFill="1" applyBorder="1" applyAlignment="1">
      <alignment horizontal="justify" vertical="center" wrapText="1"/>
    </xf>
    <xf numFmtId="0" fontId="0" fillId="3" borderId="48" xfId="0" applyFill="1" applyBorder="1" applyAlignment="1">
      <alignment horizontal="center" vertical="center"/>
    </xf>
    <xf numFmtId="0" fontId="4" fillId="2" borderId="49" xfId="0" applyFont="1" applyFill="1" applyBorder="1" applyAlignment="1">
      <alignment horizontal="center" vertical="center" wrapText="1"/>
    </xf>
    <xf numFmtId="0" fontId="4" fillId="2" borderId="50" xfId="0" applyFont="1" applyFill="1" applyBorder="1" applyAlignment="1">
      <alignment horizontal="center" vertical="center" wrapText="1"/>
    </xf>
    <xf numFmtId="0" fontId="4" fillId="2" borderId="51" xfId="0" applyFont="1" applyFill="1" applyBorder="1" applyAlignment="1">
      <alignment horizontal="center" vertical="center" wrapText="1"/>
    </xf>
    <xf numFmtId="0" fontId="4" fillId="2" borderId="52" xfId="0" applyFont="1" applyFill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2" fontId="4" fillId="0" borderId="53" xfId="0" applyNumberFormat="1" applyFont="1" applyBorder="1" applyAlignment="1">
      <alignment horizontal="center" vertical="center" wrapText="1"/>
    </xf>
    <xf numFmtId="0" fontId="50" fillId="0" borderId="37" xfId="0" applyFont="1" applyBorder="1" applyAlignment="1">
      <alignment horizontal="justify" vertical="center" wrapText="1"/>
    </xf>
    <xf numFmtId="0" fontId="4" fillId="0" borderId="5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52" xfId="0" applyFont="1" applyBorder="1" applyAlignment="1">
      <alignment horizontal="center" vertical="center" wrapText="1"/>
    </xf>
    <xf numFmtId="0" fontId="4" fillId="0" borderId="54" xfId="0" applyFont="1" applyBorder="1" applyAlignment="1">
      <alignment horizontal="center" vertical="center" wrapText="1"/>
    </xf>
    <xf numFmtId="14" fontId="0" fillId="0" borderId="0" xfId="0" applyNumberFormat="1"/>
    <xf numFmtId="0" fontId="51" fillId="0" borderId="0" xfId="0" applyFont="1"/>
    <xf numFmtId="0" fontId="2" fillId="0" borderId="55" xfId="0" applyFont="1" applyBorder="1"/>
    <xf numFmtId="0" fontId="52" fillId="0" borderId="0" xfId="0" applyFont="1"/>
    <xf numFmtId="0" fontId="4" fillId="0" borderId="0" xfId="0" applyFont="1" applyAlignment="1">
      <alignment horizontal="justify" vertical="center"/>
    </xf>
    <xf numFmtId="0" fontId="45" fillId="0" borderId="0" xfId="2" applyFill="1"/>
    <xf numFmtId="0" fontId="16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6" fillId="0" borderId="0" xfId="0" applyFont="1" applyAlignment="1">
      <alignment horizontal="right" vertical="center"/>
    </xf>
    <xf numFmtId="167" fontId="3" fillId="0" borderId="0" xfId="0" applyNumberFormat="1" applyFont="1" applyAlignment="1">
      <alignment horizontal="left" vertical="center"/>
    </xf>
    <xf numFmtId="2" fontId="0" fillId="0" borderId="0" xfId="0" applyNumberFormat="1" applyAlignment="1">
      <alignment horizontal="right"/>
    </xf>
    <xf numFmtId="0" fontId="26" fillId="0" borderId="0" xfId="0" applyFont="1" applyAlignment="1">
      <alignment horizontal="right"/>
    </xf>
    <xf numFmtId="0" fontId="26" fillId="0" borderId="0" xfId="0" applyFont="1" applyAlignment="1">
      <alignment horizontal="left"/>
    </xf>
    <xf numFmtId="0" fontId="26" fillId="0" borderId="0" xfId="0" applyFont="1"/>
    <xf numFmtId="0" fontId="26" fillId="0" borderId="0" xfId="0" applyFont="1" applyAlignment="1">
      <alignment horizontal="right" vertical="center"/>
    </xf>
    <xf numFmtId="4" fontId="26" fillId="0" borderId="0" xfId="0" applyNumberFormat="1" applyFont="1" applyAlignment="1">
      <alignment horizontal="left" vertical="center"/>
    </xf>
    <xf numFmtId="0" fontId="26" fillId="0" borderId="0" xfId="0" applyFont="1" applyAlignment="1">
      <alignment vertical="center"/>
    </xf>
    <xf numFmtId="168" fontId="26" fillId="0" borderId="0" xfId="0" applyNumberFormat="1" applyFont="1" applyAlignment="1">
      <alignment horizontal="left" vertical="center"/>
    </xf>
    <xf numFmtId="0" fontId="26" fillId="0" borderId="0" xfId="0" applyFont="1" applyAlignment="1">
      <alignment horizontal="left" vertical="center"/>
    </xf>
    <xf numFmtId="0" fontId="30" fillId="0" borderId="0" xfId="0" applyFont="1" applyAlignment="1">
      <alignment horizontal="right" vertical="center"/>
    </xf>
    <xf numFmtId="0" fontId="30" fillId="0" borderId="0" xfId="0" applyFont="1" applyAlignment="1">
      <alignment horizontal="left" vertical="center"/>
    </xf>
    <xf numFmtId="0" fontId="30" fillId="0" borderId="0" xfId="0" applyFont="1" applyAlignment="1">
      <alignment horizontal="center" vertical="center"/>
    </xf>
    <xf numFmtId="0" fontId="31" fillId="0" borderId="0" xfId="0" applyFont="1" applyAlignment="1">
      <alignment horizontal="right"/>
    </xf>
    <xf numFmtId="0" fontId="31" fillId="0" borderId="0" xfId="0" applyFont="1" applyAlignment="1">
      <alignment horizontal="left"/>
    </xf>
    <xf numFmtId="0" fontId="31" fillId="0" borderId="0" xfId="0" applyFont="1"/>
    <xf numFmtId="0" fontId="33" fillId="0" borderId="0" xfId="0" applyFont="1" applyAlignment="1">
      <alignment horizontal="right"/>
    </xf>
    <xf numFmtId="0" fontId="33" fillId="0" borderId="0" xfId="0" applyFont="1" applyAlignment="1">
      <alignment horizontal="left"/>
    </xf>
    <xf numFmtId="0" fontId="33" fillId="0" borderId="0" xfId="0" applyFont="1"/>
    <xf numFmtId="0" fontId="7" fillId="4" borderId="8" xfId="0" applyFont="1" applyFill="1" applyBorder="1" applyAlignment="1">
      <alignment vertical="center"/>
    </xf>
    <xf numFmtId="0" fontId="13" fillId="4" borderId="8" xfId="0" applyFont="1" applyFill="1" applyBorder="1" applyAlignment="1">
      <alignment horizontal="center" vertical="center"/>
    </xf>
    <xf numFmtId="0" fontId="13" fillId="3" borderId="8" xfId="0" applyFont="1" applyFill="1" applyBorder="1" applyAlignment="1">
      <alignment horizontal="right" vertical="center"/>
    </xf>
    <xf numFmtId="0" fontId="7" fillId="4" borderId="8" xfId="0" applyFont="1" applyFill="1" applyBorder="1" applyAlignment="1">
      <alignment horizontal="left" vertical="center"/>
    </xf>
    <xf numFmtId="0" fontId="16" fillId="3" borderId="8" xfId="0" applyFont="1" applyFill="1" applyBorder="1" applyAlignment="1">
      <alignment horizontal="right" vertical="center"/>
    </xf>
    <xf numFmtId="0" fontId="3" fillId="3" borderId="8" xfId="0" applyFont="1" applyFill="1" applyBorder="1" applyAlignment="1">
      <alignment horizontal="left" vertical="center"/>
    </xf>
    <xf numFmtId="167" fontId="3" fillId="3" borderId="8" xfId="0" applyNumberFormat="1" applyFont="1" applyFill="1" applyBorder="1" applyAlignment="1">
      <alignment horizontal="left" vertical="center"/>
    </xf>
    <xf numFmtId="10" fontId="7" fillId="4" borderId="8" xfId="0" applyNumberFormat="1" applyFont="1" applyFill="1" applyBorder="1" applyAlignment="1">
      <alignment vertical="center"/>
    </xf>
    <xf numFmtId="165" fontId="7" fillId="4" borderId="8" xfId="0" applyNumberFormat="1" applyFont="1" applyFill="1" applyBorder="1" applyAlignment="1">
      <alignment vertical="center"/>
    </xf>
    <xf numFmtId="0" fontId="3" fillId="0" borderId="5" xfId="0" applyFont="1" applyBorder="1" applyAlignment="1">
      <alignment horizontal="right"/>
    </xf>
    <xf numFmtId="0" fontId="3" fillId="0" borderId="5" xfId="0" applyFont="1" applyBorder="1" applyAlignment="1">
      <alignment horizontal="left"/>
    </xf>
    <xf numFmtId="166" fontId="3" fillId="0" borderId="5" xfId="0" applyNumberFormat="1" applyFont="1" applyBorder="1" applyAlignment="1">
      <alignment horizontal="left"/>
    </xf>
    <xf numFmtId="167" fontId="7" fillId="4" borderId="8" xfId="0" applyNumberFormat="1" applyFont="1" applyFill="1" applyBorder="1" applyAlignment="1">
      <alignment horizontal="left" vertical="center"/>
    </xf>
    <xf numFmtId="173" fontId="0" fillId="0" borderId="0" xfId="0" applyNumberFormat="1" applyAlignment="1">
      <alignment vertical="center"/>
    </xf>
    <xf numFmtId="167" fontId="26" fillId="0" borderId="0" xfId="0" applyNumberFormat="1" applyFont="1" applyAlignment="1">
      <alignment horizontal="left" vertical="center"/>
    </xf>
    <xf numFmtId="1" fontId="3" fillId="3" borderId="8" xfId="0" applyNumberFormat="1" applyFont="1" applyFill="1" applyBorder="1" applyAlignment="1">
      <alignment horizontal="right" vertical="center"/>
    </xf>
    <xf numFmtId="166" fontId="7" fillId="4" borderId="8" xfId="0" applyNumberFormat="1" applyFont="1" applyFill="1" applyBorder="1" applyAlignment="1">
      <alignment horizontal="center" vertical="center"/>
    </xf>
    <xf numFmtId="0" fontId="7" fillId="3" borderId="38" xfId="0" applyFont="1" applyFill="1" applyBorder="1" applyAlignment="1">
      <alignment vertical="center"/>
    </xf>
    <xf numFmtId="1" fontId="49" fillId="0" borderId="0" xfId="0" applyNumberFormat="1" applyFont="1"/>
    <xf numFmtId="173" fontId="49" fillId="0" borderId="0" xfId="0" applyNumberFormat="1" applyFont="1"/>
    <xf numFmtId="2" fontId="0" fillId="0" borderId="0" xfId="0" applyNumberFormat="1" applyAlignment="1">
      <alignment horizontal="center"/>
    </xf>
    <xf numFmtId="0" fontId="15" fillId="3" borderId="8" xfId="0" applyFont="1" applyFill="1" applyBorder="1" applyAlignment="1">
      <alignment horizontal="center" vertical="center"/>
    </xf>
    <xf numFmtId="165" fontId="0" fillId="0" borderId="0" xfId="0" applyNumberFormat="1"/>
    <xf numFmtId="0" fontId="3" fillId="3" borderId="38" xfId="0" applyFont="1" applyFill="1" applyBorder="1" applyAlignment="1">
      <alignment vertical="center"/>
    </xf>
    <xf numFmtId="0" fontId="7" fillId="0" borderId="38" xfId="0" applyFont="1" applyBorder="1" applyAlignment="1">
      <alignment horizontal="left" vertical="center"/>
    </xf>
    <xf numFmtId="0" fontId="3" fillId="3" borderId="38" xfId="0" applyFont="1" applyFill="1" applyBorder="1" applyAlignment="1">
      <alignment horizontal="left" vertical="center"/>
    </xf>
    <xf numFmtId="0" fontId="7" fillId="3" borderId="38" xfId="0" applyFont="1" applyFill="1" applyBorder="1" applyAlignment="1">
      <alignment horizontal="left" vertical="center"/>
    </xf>
    <xf numFmtId="2" fontId="7" fillId="3" borderId="38" xfId="0" applyNumberFormat="1" applyFont="1" applyFill="1" applyBorder="1" applyAlignment="1">
      <alignment horizontal="center" vertical="center"/>
    </xf>
    <xf numFmtId="1" fontId="7" fillId="0" borderId="38" xfId="0" applyNumberFormat="1" applyFont="1" applyBorder="1" applyAlignment="1">
      <alignment horizontal="center" vertical="center"/>
    </xf>
    <xf numFmtId="0" fontId="16" fillId="3" borderId="8" xfId="0" applyFont="1" applyFill="1" applyBorder="1" applyAlignment="1">
      <alignment horizontal="left" vertical="center"/>
    </xf>
    <xf numFmtId="0" fontId="7" fillId="3" borderId="38" xfId="0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left" vertical="center"/>
    </xf>
    <xf numFmtId="0" fontId="16" fillId="3" borderId="11" xfId="0" applyFont="1" applyFill="1" applyBorder="1" applyAlignment="1">
      <alignment horizontal="left" vertical="center"/>
    </xf>
    <xf numFmtId="0" fontId="35" fillId="3" borderId="12" xfId="0" applyFont="1" applyFill="1" applyBorder="1" applyAlignment="1">
      <alignment horizontal="left" vertical="center"/>
    </xf>
    <xf numFmtId="2" fontId="16" fillId="3" borderId="8" xfId="0" applyNumberFormat="1" applyFont="1" applyFill="1" applyBorder="1" applyAlignment="1">
      <alignment horizontal="center" vertical="center"/>
    </xf>
    <xf numFmtId="0" fontId="3" fillId="3" borderId="38" xfId="0" applyFont="1" applyFill="1" applyBorder="1" applyAlignment="1">
      <alignment horizontal="right" vertical="center"/>
    </xf>
    <xf numFmtId="166" fontId="7" fillId="0" borderId="38" xfId="0" applyNumberFormat="1" applyFont="1" applyBorder="1" applyAlignment="1">
      <alignment horizontal="center" vertical="center"/>
    </xf>
    <xf numFmtId="3" fontId="7" fillId="0" borderId="38" xfId="0" applyNumberFormat="1" applyFont="1" applyBorder="1" applyAlignment="1">
      <alignment horizontal="center" vertical="center"/>
    </xf>
    <xf numFmtId="10" fontId="7" fillId="4" borderId="8" xfId="0" applyNumberFormat="1" applyFont="1" applyFill="1" applyBorder="1" applyAlignment="1">
      <alignment horizontal="center" vertical="center"/>
    </xf>
    <xf numFmtId="0" fontId="0" fillId="0" borderId="0" xfId="0" applyAlignment="1">
      <alignment horizontal="left" vertical="top" wrapText="1"/>
    </xf>
    <xf numFmtId="9" fontId="0" fillId="0" borderId="0" xfId="0" applyNumberFormat="1"/>
    <xf numFmtId="0" fontId="7" fillId="3" borderId="8" xfId="0" applyFont="1" applyFill="1" applyBorder="1" applyProtection="1">
      <protection locked="0"/>
    </xf>
    <xf numFmtId="0" fontId="0" fillId="0" borderId="0" xfId="0" applyProtection="1">
      <protection locked="0"/>
    </xf>
    <xf numFmtId="0" fontId="7" fillId="3" borderId="8" xfId="0" applyFont="1" applyFill="1" applyBorder="1" applyAlignment="1" applyProtection="1">
      <alignment horizontal="left" vertical="center"/>
      <protection locked="0"/>
    </xf>
    <xf numFmtId="0" fontId="7" fillId="3" borderId="8" xfId="0" applyFont="1" applyFill="1" applyBorder="1" applyAlignment="1" applyProtection="1">
      <alignment vertical="center"/>
      <protection locked="0"/>
    </xf>
    <xf numFmtId="0" fontId="35" fillId="3" borderId="9" xfId="0" applyFont="1" applyFill="1" applyBorder="1" applyAlignment="1" applyProtection="1">
      <alignment horizontal="left" vertical="center"/>
      <protection locked="0"/>
    </xf>
    <xf numFmtId="0" fontId="35" fillId="3" borderId="10" xfId="0" applyFont="1" applyFill="1" applyBorder="1" applyAlignment="1" applyProtection="1">
      <alignment horizontal="left" vertical="center"/>
      <protection locked="0"/>
    </xf>
    <xf numFmtId="0" fontId="35" fillId="3" borderId="11" xfId="0" applyFont="1" applyFill="1" applyBorder="1" applyAlignment="1" applyProtection="1">
      <alignment horizontal="left" vertical="center"/>
      <protection locked="0"/>
    </xf>
    <xf numFmtId="0" fontId="20" fillId="3" borderId="38" xfId="0" applyFont="1" applyFill="1" applyBorder="1" applyAlignment="1" applyProtection="1">
      <alignment vertical="center"/>
      <protection locked="0"/>
    </xf>
    <xf numFmtId="0" fontId="11" fillId="3" borderId="8" xfId="0" applyFont="1" applyFill="1" applyBorder="1" applyAlignment="1" applyProtection="1">
      <alignment horizontal="left" vertical="center"/>
      <protection locked="0"/>
    </xf>
    <xf numFmtId="0" fontId="9" fillId="3" borderId="38" xfId="0" applyFont="1" applyFill="1" applyBorder="1" applyAlignment="1" applyProtection="1">
      <alignment vertical="center"/>
      <protection locked="0"/>
    </xf>
    <xf numFmtId="165" fontId="32" fillId="3" borderId="38" xfId="0" applyNumberFormat="1" applyFont="1" applyFill="1" applyBorder="1" applyAlignment="1">
      <alignment horizontal="right" vertical="center"/>
    </xf>
    <xf numFmtId="0" fontId="42" fillId="3" borderId="8" xfId="0" applyFont="1" applyFill="1" applyBorder="1" applyProtection="1">
      <protection locked="0"/>
    </xf>
    <xf numFmtId="0" fontId="0" fillId="3" borderId="8" xfId="0" applyFill="1" applyBorder="1" applyAlignment="1" applyProtection="1">
      <alignment vertical="center"/>
      <protection locked="0"/>
    </xf>
    <xf numFmtId="0" fontId="15" fillId="3" borderId="8" xfId="0" applyFont="1" applyFill="1" applyBorder="1" applyAlignment="1" applyProtection="1">
      <alignment horizontal="left" vertical="center"/>
      <protection locked="0"/>
    </xf>
    <xf numFmtId="166" fontId="3" fillId="4" borderId="9" xfId="0" applyNumberFormat="1" applyFont="1" applyFill="1" applyBorder="1" applyAlignment="1" applyProtection="1">
      <alignment horizontal="center" vertical="center"/>
      <protection locked="0"/>
    </xf>
    <xf numFmtId="0" fontId="15" fillId="3" borderId="8" xfId="0" applyFont="1" applyFill="1" applyBorder="1" applyAlignment="1" applyProtection="1">
      <alignment horizontal="right" vertical="center"/>
      <protection locked="0"/>
    </xf>
    <xf numFmtId="3" fontId="15" fillId="4" borderId="8" xfId="0" applyNumberFormat="1" applyFont="1" applyFill="1" applyBorder="1" applyAlignment="1" applyProtection="1">
      <alignment horizontal="center" vertical="center"/>
      <protection locked="0"/>
    </xf>
    <xf numFmtId="0" fontId="0" fillId="3" borderId="9" xfId="0" applyFill="1" applyBorder="1" applyAlignment="1" applyProtection="1">
      <alignment vertical="center"/>
      <protection locked="0"/>
    </xf>
    <xf numFmtId="0" fontId="11" fillId="3" borderId="10" xfId="0" applyFont="1" applyFill="1" applyBorder="1" applyAlignment="1" applyProtection="1">
      <alignment horizontal="left" vertical="center"/>
      <protection locked="0"/>
    </xf>
    <xf numFmtId="0" fontId="15" fillId="3" borderId="10" xfId="0" applyFont="1" applyFill="1" applyBorder="1" applyAlignment="1" applyProtection="1">
      <alignment horizontal="left" vertical="center"/>
      <protection locked="0"/>
    </xf>
    <xf numFmtId="0" fontId="15" fillId="3" borderId="10" xfId="0" applyFont="1" applyFill="1" applyBorder="1" applyAlignment="1" applyProtection="1">
      <alignment horizontal="right" vertical="center"/>
      <protection locked="0"/>
    </xf>
    <xf numFmtId="0" fontId="15" fillId="3" borderId="8" xfId="0" applyFont="1" applyFill="1" applyBorder="1" applyAlignment="1" applyProtection="1">
      <alignment horizontal="center" vertical="center"/>
      <protection locked="0"/>
    </xf>
    <xf numFmtId="0" fontId="49" fillId="0" borderId="0" xfId="0" applyFont="1" applyProtection="1">
      <protection locked="0"/>
    </xf>
    <xf numFmtId="10" fontId="16" fillId="4" borderId="8" xfId="0" applyNumberFormat="1" applyFont="1" applyFill="1" applyBorder="1" applyAlignment="1" applyProtection="1">
      <alignment vertical="center"/>
      <protection locked="0"/>
    </xf>
    <xf numFmtId="0" fontId="53" fillId="0" borderId="0" xfId="0" applyFont="1" applyProtection="1">
      <protection locked="0"/>
    </xf>
    <xf numFmtId="1" fontId="49" fillId="0" borderId="0" xfId="0" applyNumberFormat="1" applyFont="1" applyProtection="1">
      <protection locked="0"/>
    </xf>
    <xf numFmtId="0" fontId="11" fillId="3" borderId="8" xfId="0" applyFont="1" applyFill="1" applyBorder="1" applyAlignment="1">
      <alignment vertical="center"/>
    </xf>
    <xf numFmtId="0" fontId="15" fillId="3" borderId="8" xfId="0" applyFont="1" applyFill="1" applyBorder="1" applyAlignment="1" applyProtection="1">
      <alignment vertical="center"/>
      <protection locked="0"/>
    </xf>
    <xf numFmtId="173" fontId="49" fillId="0" borderId="0" xfId="0" applyNumberFormat="1" applyFont="1" applyProtection="1">
      <protection locked="0"/>
    </xf>
    <xf numFmtId="167" fontId="15" fillId="3" borderId="8" xfId="0" applyNumberFormat="1" applyFont="1" applyFill="1" applyBorder="1" applyAlignment="1" applyProtection="1">
      <alignment horizontal="left" vertical="center"/>
      <protection locked="0"/>
    </xf>
    <xf numFmtId="0" fontId="9" fillId="3" borderId="8" xfId="0" applyFont="1" applyFill="1" applyBorder="1" applyAlignment="1" applyProtection="1">
      <alignment vertical="center"/>
      <protection locked="0"/>
    </xf>
    <xf numFmtId="0" fontId="16" fillId="3" borderId="8" xfId="0" applyFont="1" applyFill="1" applyBorder="1" applyAlignment="1" applyProtection="1">
      <alignment vertical="center"/>
      <protection locked="0"/>
    </xf>
    <xf numFmtId="169" fontId="15" fillId="4" borderId="8" xfId="0" applyNumberFormat="1" applyFont="1" applyFill="1" applyBorder="1" applyAlignment="1" applyProtection="1">
      <alignment horizontal="right" vertical="center"/>
      <protection locked="0"/>
    </xf>
    <xf numFmtId="9" fontId="16" fillId="3" borderId="8" xfId="0" applyNumberFormat="1" applyFont="1" applyFill="1" applyBorder="1" applyAlignment="1" applyProtection="1">
      <alignment horizontal="center" vertical="center"/>
      <protection locked="0"/>
    </xf>
    <xf numFmtId="9" fontId="16" fillId="3" borderId="8" xfId="0" applyNumberFormat="1" applyFont="1" applyFill="1" applyBorder="1" applyAlignment="1">
      <alignment horizontal="center" vertical="center"/>
    </xf>
    <xf numFmtId="0" fontId="49" fillId="0" borderId="0" xfId="0" applyFont="1" applyAlignment="1" applyProtection="1">
      <alignment horizontal="center"/>
      <protection locked="0"/>
    </xf>
    <xf numFmtId="0" fontId="16" fillId="3" borderId="8" xfId="0" applyFont="1" applyFill="1" applyBorder="1" applyAlignment="1" applyProtection="1">
      <alignment horizontal="right" vertical="center"/>
      <protection locked="0"/>
    </xf>
    <xf numFmtId="0" fontId="3" fillId="3" borderId="8" xfId="0" applyFont="1" applyFill="1" applyBorder="1" applyAlignment="1" applyProtection="1">
      <alignment horizontal="left" vertical="center"/>
      <protection locked="0"/>
    </xf>
    <xf numFmtId="167" fontId="3" fillId="3" borderId="8" xfId="0" applyNumberFormat="1" applyFont="1" applyFill="1" applyBorder="1" applyAlignment="1" applyProtection="1">
      <alignment horizontal="left" vertical="center"/>
      <protection locked="0"/>
    </xf>
    <xf numFmtId="0" fontId="16" fillId="3" borderId="9" xfId="0" applyFont="1" applyFill="1" applyBorder="1" applyAlignment="1" applyProtection="1">
      <alignment horizontal="right" vertical="center"/>
      <protection locked="0"/>
    </xf>
    <xf numFmtId="167" fontId="3" fillId="3" borderId="11" xfId="0" applyNumberFormat="1" applyFont="1" applyFill="1" applyBorder="1" applyAlignment="1" applyProtection="1">
      <alignment horizontal="left" vertical="center"/>
      <protection locked="0"/>
    </xf>
    <xf numFmtId="10" fontId="7" fillId="4" borderId="8" xfId="0" applyNumberFormat="1" applyFont="1" applyFill="1" applyBorder="1" applyAlignment="1" applyProtection="1">
      <alignment vertical="center"/>
      <protection locked="0"/>
    </xf>
    <xf numFmtId="165" fontId="7" fillId="4" borderId="8" xfId="0" applyNumberFormat="1" applyFont="1" applyFill="1" applyBorder="1" applyAlignment="1" applyProtection="1">
      <alignment vertical="center"/>
      <protection locked="0"/>
    </xf>
    <xf numFmtId="165" fontId="7" fillId="3" borderId="8" xfId="0" applyNumberFormat="1" applyFont="1" applyFill="1" applyBorder="1" applyAlignment="1" applyProtection="1">
      <alignment vertical="center"/>
      <protection locked="0"/>
    </xf>
    <xf numFmtId="10" fontId="20" fillId="0" borderId="0" xfId="0" applyNumberFormat="1" applyFont="1"/>
    <xf numFmtId="0" fontId="18" fillId="0" borderId="0" xfId="0" applyFont="1"/>
    <xf numFmtId="0" fontId="48" fillId="0" borderId="0" xfId="0" applyFont="1" applyAlignment="1">
      <alignment vertical="center"/>
    </xf>
    <xf numFmtId="0" fontId="20" fillId="0" borderId="16" xfId="0" applyFont="1" applyBorder="1" applyAlignment="1">
      <alignment vertical="center"/>
    </xf>
    <xf numFmtId="2" fontId="3" fillId="0" borderId="0" xfId="0" applyNumberFormat="1" applyFont="1" applyAlignment="1">
      <alignment horizontal="center" vertical="top"/>
    </xf>
    <xf numFmtId="1" fontId="3" fillId="0" borderId="0" xfId="0" applyNumberFormat="1" applyFont="1" applyAlignment="1">
      <alignment horizontal="center" vertical="top"/>
    </xf>
    <xf numFmtId="2" fontId="3" fillId="0" borderId="0" xfId="0" applyNumberFormat="1" applyFont="1" applyAlignment="1">
      <alignment horizontal="left"/>
    </xf>
    <xf numFmtId="0" fontId="3" fillId="0" borderId="0" xfId="0" applyFont="1" applyAlignment="1">
      <alignment vertical="top"/>
    </xf>
    <xf numFmtId="10" fontId="3" fillId="0" borderId="0" xfId="0" applyNumberFormat="1" applyFont="1" applyAlignment="1">
      <alignment horizontal="center" vertical="top"/>
    </xf>
    <xf numFmtId="0" fontId="54" fillId="0" borderId="0" xfId="0" applyFont="1"/>
    <xf numFmtId="0" fontId="20" fillId="0" borderId="38" xfId="0" applyFont="1" applyBorder="1" applyAlignment="1">
      <alignment vertical="center"/>
    </xf>
    <xf numFmtId="0" fontId="3" fillId="0" borderId="0" xfId="0" applyFont="1" applyAlignment="1">
      <alignment horizontal="right"/>
    </xf>
    <xf numFmtId="0" fontId="55" fillId="0" borderId="0" xfId="0" applyFont="1"/>
    <xf numFmtId="3" fontId="3" fillId="0" borderId="0" xfId="0" applyNumberFormat="1" applyFont="1" applyAlignment="1">
      <alignment horizontal="center"/>
    </xf>
    <xf numFmtId="173" fontId="3" fillId="0" borderId="0" xfId="0" applyNumberFormat="1" applyFont="1" applyAlignment="1">
      <alignment horizontal="center"/>
    </xf>
    <xf numFmtId="2" fontId="3" fillId="0" borderId="0" xfId="0" applyNumberFormat="1" applyFont="1" applyAlignment="1">
      <alignment horizontal="center"/>
    </xf>
    <xf numFmtId="0" fontId="3" fillId="0" borderId="0" xfId="0" applyFont="1" applyAlignment="1">
      <alignment horizontal="left"/>
    </xf>
    <xf numFmtId="3" fontId="3" fillId="0" borderId="0" xfId="0" applyNumberFormat="1" applyFont="1" applyAlignment="1">
      <alignment horizontal="left"/>
    </xf>
    <xf numFmtId="0" fontId="56" fillId="0" borderId="0" xfId="0" applyFont="1"/>
    <xf numFmtId="10" fontId="3" fillId="0" borderId="0" xfId="0" applyNumberFormat="1" applyFont="1"/>
    <xf numFmtId="165" fontId="3" fillId="0" borderId="0" xfId="0" applyNumberFormat="1" applyFont="1" applyAlignment="1">
      <alignment horizontal="right"/>
    </xf>
    <xf numFmtId="0" fontId="48" fillId="0" borderId="0" xfId="0" applyFont="1"/>
    <xf numFmtId="4" fontId="0" fillId="0" borderId="0" xfId="0" applyNumberFormat="1"/>
    <xf numFmtId="10" fontId="0" fillId="0" borderId="0" xfId="0" applyNumberFormat="1" applyAlignment="1">
      <alignment horizontal="left"/>
    </xf>
    <xf numFmtId="2" fontId="36" fillId="0" borderId="0" xfId="0" applyNumberFormat="1" applyFont="1"/>
    <xf numFmtId="0" fontId="37" fillId="0" borderId="0" xfId="0" applyFont="1" applyAlignment="1">
      <alignment vertical="center"/>
    </xf>
    <xf numFmtId="0" fontId="37" fillId="0" borderId="0" xfId="0" applyFont="1"/>
    <xf numFmtId="0" fontId="29" fillId="3" borderId="8" xfId="0" applyFont="1" applyFill="1" applyBorder="1" applyAlignment="1">
      <alignment vertical="center"/>
    </xf>
    <xf numFmtId="0" fontId="57" fillId="3" borderId="8" xfId="0" applyFont="1" applyFill="1" applyBorder="1" applyAlignment="1">
      <alignment vertical="center"/>
    </xf>
    <xf numFmtId="0" fontId="36" fillId="0" borderId="0" xfId="0" applyFont="1" applyAlignment="1">
      <alignment horizontal="center" vertical="center"/>
    </xf>
    <xf numFmtId="0" fontId="58" fillId="3" borderId="38" xfId="0" applyFont="1" applyFill="1" applyBorder="1" applyAlignment="1">
      <alignment vertical="center"/>
    </xf>
    <xf numFmtId="0" fontId="3" fillId="4" borderId="56" xfId="0" applyFont="1" applyFill="1" applyBorder="1" applyAlignment="1">
      <alignment vertical="center"/>
    </xf>
    <xf numFmtId="0" fontId="3" fillId="4" borderId="56" xfId="0" applyFont="1" applyFill="1" applyBorder="1" applyAlignment="1">
      <alignment horizontal="center" vertical="center"/>
    </xf>
    <xf numFmtId="165" fontId="3" fillId="4" borderId="56" xfId="0" applyNumberFormat="1" applyFont="1" applyFill="1" applyBorder="1" applyAlignment="1">
      <alignment vertical="center"/>
    </xf>
    <xf numFmtId="0" fontId="3" fillId="3" borderId="16" xfId="0" applyFont="1" applyFill="1" applyBorder="1" applyAlignment="1">
      <alignment vertical="center"/>
    </xf>
    <xf numFmtId="0" fontId="59" fillId="0" borderId="0" xfId="0" applyFont="1"/>
    <xf numFmtId="0" fontId="3" fillId="0" borderId="0" xfId="0" applyFont="1" applyAlignment="1">
      <alignment horizontal="center" vertical="center"/>
    </xf>
    <xf numFmtId="0" fontId="59" fillId="0" borderId="0" xfId="0" applyFont="1" applyAlignment="1">
      <alignment horizontal="center"/>
    </xf>
    <xf numFmtId="173" fontId="59" fillId="0" borderId="0" xfId="0" applyNumberFormat="1" applyFont="1"/>
    <xf numFmtId="0" fontId="3" fillId="3" borderId="38" xfId="0" applyFont="1" applyFill="1" applyBorder="1" applyAlignment="1">
      <alignment horizontal="center" vertical="center"/>
    </xf>
    <xf numFmtId="0" fontId="19" fillId="3" borderId="8" xfId="0" applyFont="1" applyFill="1" applyBorder="1"/>
    <xf numFmtId="0" fontId="16" fillId="0" borderId="0" xfId="0" applyFont="1" applyAlignment="1">
      <alignment horizontal="center" vertical="center"/>
    </xf>
    <xf numFmtId="0" fontId="16" fillId="0" borderId="0" xfId="0" applyFont="1" applyAlignment="1">
      <alignment vertical="center" wrapText="1"/>
    </xf>
    <xf numFmtId="2" fontId="16" fillId="0" borderId="0" xfId="0" applyNumberFormat="1" applyFont="1" applyAlignment="1">
      <alignment vertical="center"/>
    </xf>
    <xf numFmtId="0" fontId="16" fillId="0" borderId="5" xfId="0" applyFont="1" applyBorder="1" applyAlignment="1">
      <alignment vertical="center"/>
    </xf>
    <xf numFmtId="0" fontId="16" fillId="0" borderId="5" xfId="0" applyFont="1" applyBorder="1" applyAlignment="1">
      <alignment horizontal="center" vertical="center"/>
    </xf>
    <xf numFmtId="2" fontId="16" fillId="0" borderId="0" xfId="0" applyNumberFormat="1" applyFont="1" applyAlignment="1">
      <alignment horizontal="center" vertical="center"/>
    </xf>
    <xf numFmtId="0" fontId="3" fillId="4" borderId="56" xfId="0" applyFont="1" applyFill="1" applyBorder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6" fillId="0" borderId="6" xfId="0" applyFont="1" applyBorder="1" applyAlignment="1">
      <alignment vertical="center"/>
    </xf>
    <xf numFmtId="2" fontId="3" fillId="3" borderId="56" xfId="0" applyNumberFormat="1" applyFont="1" applyFill="1" applyBorder="1" applyAlignment="1">
      <alignment horizontal="right" vertical="center"/>
    </xf>
    <xf numFmtId="0" fontId="3" fillId="4" borderId="56" xfId="0" applyFont="1" applyFill="1" applyBorder="1" applyAlignment="1">
      <alignment horizontal="left" vertical="center" wrapText="1"/>
    </xf>
    <xf numFmtId="165" fontId="61" fillId="3" borderId="56" xfId="0" applyNumberFormat="1" applyFont="1" applyFill="1" applyBorder="1" applyAlignment="1">
      <alignment horizontal="right" vertical="center"/>
    </xf>
    <xf numFmtId="0" fontId="62" fillId="3" borderId="8" xfId="0" applyFont="1" applyFill="1" applyBorder="1" applyAlignment="1">
      <alignment horizontal="center" vertical="center"/>
    </xf>
    <xf numFmtId="173" fontId="16" fillId="3" borderId="8" xfId="0" applyNumberFormat="1" applyFont="1" applyFill="1" applyBorder="1" applyAlignment="1">
      <alignment horizontal="center" vertical="center"/>
    </xf>
    <xf numFmtId="0" fontId="3" fillId="0" borderId="5" xfId="0" applyFont="1" applyBorder="1"/>
    <xf numFmtId="165" fontId="3" fillId="0" borderId="5" xfId="0" applyNumberFormat="1" applyFont="1" applyBorder="1" applyAlignment="1">
      <alignment horizontal="right"/>
    </xf>
    <xf numFmtId="0" fontId="45" fillId="0" borderId="0" xfId="2"/>
    <xf numFmtId="0" fontId="54" fillId="3" borderId="0" xfId="0" applyFont="1" applyFill="1" applyAlignment="1">
      <alignment vertical="top"/>
    </xf>
    <xf numFmtId="0" fontId="1" fillId="3" borderId="8" xfId="0" applyFont="1" applyFill="1" applyBorder="1" applyAlignment="1">
      <alignment horizontal="right" vertical="center"/>
    </xf>
    <xf numFmtId="3" fontId="15" fillId="0" borderId="8" xfId="0" applyNumberFormat="1" applyFont="1" applyBorder="1" applyAlignment="1" applyProtection="1">
      <alignment horizontal="center" vertical="center"/>
      <protection locked="0"/>
    </xf>
    <xf numFmtId="165" fontId="3" fillId="0" borderId="0" xfId="0" applyNumberFormat="1" applyFont="1"/>
    <xf numFmtId="0" fontId="7" fillId="0" borderId="5" xfId="0" applyFont="1" applyBorder="1" applyAlignment="1">
      <alignment horizontal="center" vertical="center"/>
    </xf>
    <xf numFmtId="0" fontId="7" fillId="0" borderId="60" xfId="0" applyFont="1" applyBorder="1" applyAlignment="1">
      <alignment horizontal="center" vertical="center" wrapText="1"/>
    </xf>
    <xf numFmtId="2" fontId="7" fillId="0" borderId="5" xfId="0" applyNumberFormat="1" applyFont="1" applyBorder="1" applyAlignment="1">
      <alignment vertical="center"/>
    </xf>
    <xf numFmtId="2" fontId="7" fillId="0" borderId="5" xfId="0" applyNumberFormat="1" applyFont="1" applyBorder="1" applyAlignment="1">
      <alignment horizontal="right" vertical="center"/>
    </xf>
    <xf numFmtId="165" fontId="7" fillId="0" borderId="0" xfId="0" applyNumberFormat="1" applyFont="1" applyAlignment="1">
      <alignment vertical="center"/>
    </xf>
    <xf numFmtId="10" fontId="7" fillId="4" borderId="8" xfId="0" applyNumberFormat="1" applyFont="1" applyFill="1" applyBorder="1" applyAlignment="1">
      <alignment horizontal="right" vertical="center"/>
    </xf>
    <xf numFmtId="0" fontId="1" fillId="0" borderId="0" xfId="0" applyFont="1"/>
    <xf numFmtId="173" fontId="36" fillId="0" borderId="61" xfId="0" applyNumberFormat="1" applyFont="1" applyBorder="1" applyAlignment="1">
      <alignment vertical="center"/>
    </xf>
    <xf numFmtId="0" fontId="46" fillId="3" borderId="8" xfId="0" applyFont="1" applyFill="1" applyBorder="1" applyAlignment="1">
      <alignment horizontal="left" vertical="center"/>
    </xf>
    <xf numFmtId="183" fontId="0" fillId="0" borderId="0" xfId="0" applyNumberFormat="1" applyAlignment="1">
      <alignment horizontal="center"/>
    </xf>
    <xf numFmtId="0" fontId="20" fillId="0" borderId="0" xfId="0" applyFont="1" applyAlignment="1">
      <alignment horizontal="left"/>
    </xf>
    <xf numFmtId="0" fontId="63" fillId="0" borderId="0" xfId="0" applyFont="1"/>
    <xf numFmtId="0" fontId="64" fillId="0" borderId="0" xfId="0" applyFont="1"/>
    <xf numFmtId="16" fontId="58" fillId="0" borderId="0" xfId="0" applyNumberFormat="1" applyFont="1"/>
    <xf numFmtId="0" fontId="58" fillId="0" borderId="0" xfId="0" applyFont="1"/>
    <xf numFmtId="0" fontId="3" fillId="4" borderId="57" xfId="0" applyFont="1" applyFill="1" applyBorder="1" applyAlignment="1">
      <alignment horizontal="center" vertical="center"/>
    </xf>
    <xf numFmtId="0" fontId="3" fillId="4" borderId="59" xfId="0" applyFont="1" applyFill="1" applyBorder="1" applyAlignment="1">
      <alignment horizontal="center" vertical="center"/>
    </xf>
    <xf numFmtId="0" fontId="3" fillId="4" borderId="58" xfId="0" applyFont="1" applyFill="1" applyBorder="1" applyAlignment="1">
      <alignment horizontal="center" vertical="center"/>
    </xf>
    <xf numFmtId="0" fontId="65" fillId="4" borderId="56" xfId="0" applyFont="1" applyFill="1" applyBorder="1" applyAlignment="1">
      <alignment vertical="center"/>
    </xf>
    <xf numFmtId="165" fontId="65" fillId="4" borderId="56" xfId="0" applyNumberFormat="1" applyFont="1" applyFill="1" applyBorder="1" applyAlignment="1">
      <alignment vertical="center"/>
    </xf>
    <xf numFmtId="4" fontId="7" fillId="4" borderId="8" xfId="0" applyNumberFormat="1" applyFont="1" applyFill="1" applyBorder="1" applyAlignment="1">
      <alignment vertical="center"/>
    </xf>
    <xf numFmtId="4" fontId="0" fillId="0" borderId="0" xfId="0" applyNumberFormat="1" applyAlignment="1">
      <alignment horizontal="right"/>
    </xf>
    <xf numFmtId="2" fontId="36" fillId="0" borderId="62" xfId="0" applyNumberFormat="1" applyFont="1" applyBorder="1" applyAlignment="1">
      <alignment vertical="center"/>
    </xf>
    <xf numFmtId="0" fontId="1" fillId="0" borderId="5" xfId="0" applyFont="1" applyBorder="1"/>
    <xf numFmtId="0" fontId="66" fillId="8" borderId="0" xfId="0" applyFont="1" applyFill="1" applyAlignment="1">
      <alignment horizontal="left"/>
    </xf>
    <xf numFmtId="0" fontId="66" fillId="8" borderId="0" xfId="0" applyFont="1" applyFill="1"/>
    <xf numFmtId="0" fontId="66" fillId="8" borderId="63" xfId="0" applyFont="1" applyFill="1" applyBorder="1" applyAlignment="1">
      <alignment horizontal="left"/>
    </xf>
    <xf numFmtId="0" fontId="66" fillId="8" borderId="63" xfId="0" applyFont="1" applyFill="1" applyBorder="1"/>
    <xf numFmtId="0" fontId="66" fillId="8" borderId="64" xfId="0" applyFont="1" applyFill="1" applyBorder="1"/>
    <xf numFmtId="0" fontId="66" fillId="8" borderId="65" xfId="0" applyFont="1" applyFill="1" applyBorder="1"/>
    <xf numFmtId="4" fontId="66" fillId="8" borderId="65" xfId="0" applyNumberFormat="1" applyFont="1" applyFill="1" applyBorder="1"/>
    <xf numFmtId="0" fontId="66" fillId="8" borderId="66" xfId="0" applyFont="1" applyFill="1" applyBorder="1" applyAlignment="1">
      <alignment horizontal="left"/>
    </xf>
    <xf numFmtId="0" fontId="66" fillId="8" borderId="66" xfId="0" applyFont="1" applyFill="1" applyBorder="1"/>
    <xf numFmtId="0" fontId="66" fillId="8" borderId="66" xfId="0" applyFont="1" applyFill="1" applyBorder="1" applyAlignment="1">
      <alignment horizontal="right"/>
    </xf>
    <xf numFmtId="4" fontId="66" fillId="8" borderId="67" xfId="0" applyNumberFormat="1" applyFont="1" applyFill="1" applyBorder="1"/>
    <xf numFmtId="164" fontId="16" fillId="3" borderId="8" xfId="0" applyNumberFormat="1" applyFont="1" applyFill="1" applyBorder="1" applyAlignment="1">
      <alignment horizontal="center" vertical="center"/>
    </xf>
    <xf numFmtId="1" fontId="7" fillId="0" borderId="0" xfId="0" applyNumberFormat="1" applyFont="1" applyAlignment="1">
      <alignment horizontal="center" vertical="center"/>
    </xf>
    <xf numFmtId="0" fontId="16" fillId="3" borderId="0" xfId="0" applyFont="1" applyFill="1" applyAlignment="1">
      <alignment vertical="center"/>
    </xf>
    <xf numFmtId="0" fontId="19" fillId="3" borderId="38" xfId="0" applyFont="1" applyFill="1" applyBorder="1" applyAlignment="1">
      <alignment horizontal="center" vertical="center"/>
    </xf>
    <xf numFmtId="166" fontId="0" fillId="0" borderId="0" xfId="0" applyNumberFormat="1" applyAlignment="1">
      <alignment horizontal="center"/>
    </xf>
    <xf numFmtId="0" fontId="69" fillId="0" borderId="0" xfId="0" applyFont="1"/>
    <xf numFmtId="0" fontId="69" fillId="0" borderId="0" xfId="0" applyFont="1" applyAlignment="1">
      <alignment horizontal="right"/>
    </xf>
    <xf numFmtId="170" fontId="69" fillId="0" borderId="0" xfId="0" applyNumberFormat="1" applyFont="1" applyAlignment="1">
      <alignment horizontal="right"/>
    </xf>
    <xf numFmtId="0" fontId="11" fillId="3" borderId="38" xfId="0" applyFont="1" applyFill="1" applyBorder="1" applyAlignment="1" applyProtection="1">
      <alignment horizontal="left" vertical="center"/>
      <protection locked="0"/>
    </xf>
    <xf numFmtId="169" fontId="16" fillId="3" borderId="9" xfId="0" applyNumberFormat="1" applyFont="1" applyFill="1" applyBorder="1" applyAlignment="1" applyProtection="1">
      <alignment horizontal="right" vertical="center"/>
      <protection locked="0"/>
    </xf>
    <xf numFmtId="169" fontId="16" fillId="3" borderId="10" xfId="0" applyNumberFormat="1" applyFont="1" applyFill="1" applyBorder="1" applyAlignment="1" applyProtection="1">
      <alignment horizontal="right" vertical="center"/>
      <protection locked="0"/>
    </xf>
    <xf numFmtId="169" fontId="16" fillId="3" borderId="11" xfId="0" applyNumberFormat="1" applyFont="1" applyFill="1" applyBorder="1" applyAlignment="1" applyProtection="1">
      <alignment horizontal="right" vertical="center"/>
      <protection locked="0"/>
    </xf>
    <xf numFmtId="169" fontId="3" fillId="0" borderId="0" xfId="0" applyNumberFormat="1" applyFont="1" applyAlignment="1">
      <alignment horizontal="center" vertical="center"/>
    </xf>
    <xf numFmtId="10" fontId="44" fillId="0" borderId="0" xfId="0" applyNumberFormat="1" applyFont="1" applyAlignment="1">
      <alignment horizontal="center"/>
    </xf>
    <xf numFmtId="0" fontId="44" fillId="0" borderId="0" xfId="0" applyFont="1" applyAlignment="1">
      <alignment horizontal="left"/>
    </xf>
    <xf numFmtId="166" fontId="44" fillId="0" borderId="0" xfId="0" applyNumberFormat="1" applyFont="1" applyAlignment="1">
      <alignment horizontal="left"/>
    </xf>
    <xf numFmtId="4" fontId="44" fillId="0" borderId="0" xfId="0" applyNumberFormat="1" applyFont="1" applyAlignment="1">
      <alignment horizontal="center"/>
    </xf>
    <xf numFmtId="0" fontId="0" fillId="3" borderId="0" xfId="0" applyFill="1" applyAlignment="1">
      <alignment horizontal="center" vertical="center"/>
    </xf>
    <xf numFmtId="0" fontId="16" fillId="3" borderId="8" xfId="0" applyFont="1" applyFill="1" applyBorder="1" applyProtection="1">
      <protection locked="0"/>
    </xf>
    <xf numFmtId="0" fontId="0" fillId="3" borderId="8" xfId="0" applyFill="1" applyBorder="1" applyAlignment="1" applyProtection="1">
      <alignment vertical="top"/>
      <protection locked="0"/>
    </xf>
    <xf numFmtId="0" fontId="7" fillId="3" borderId="8" xfId="0" applyFont="1" applyFill="1" applyBorder="1" applyAlignment="1" applyProtection="1">
      <alignment vertical="top"/>
      <protection locked="0"/>
    </xf>
    <xf numFmtId="0" fontId="2" fillId="0" borderId="3" xfId="0" applyFont="1" applyBorder="1"/>
    <xf numFmtId="0" fontId="71" fillId="0" borderId="0" xfId="0" applyFont="1" applyAlignment="1">
      <alignment horizontal="left" vertical="center"/>
    </xf>
    <xf numFmtId="0" fontId="38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16" fillId="3" borderId="15" xfId="0" applyFont="1" applyFill="1" applyBorder="1" applyAlignment="1">
      <alignment horizontal="left" vertical="center"/>
    </xf>
    <xf numFmtId="0" fontId="16" fillId="3" borderId="15" xfId="0" applyFont="1" applyFill="1" applyBorder="1" applyAlignment="1">
      <alignment horizontal="center" vertical="center"/>
    </xf>
    <xf numFmtId="165" fontId="77" fillId="0" borderId="0" xfId="0" applyNumberFormat="1" applyFont="1" applyAlignment="1">
      <alignment horizontal="right" vertical="center" wrapText="1"/>
    </xf>
    <xf numFmtId="164" fontId="36" fillId="0" borderId="0" xfId="0" applyNumberFormat="1" applyFont="1"/>
    <xf numFmtId="4" fontId="77" fillId="0" borderId="0" xfId="0" applyNumberFormat="1" applyFont="1" applyAlignment="1">
      <alignment horizontal="right" vertical="center" wrapText="1"/>
    </xf>
    <xf numFmtId="0" fontId="77" fillId="0" borderId="0" xfId="0" applyFont="1" applyAlignment="1">
      <alignment horizontal="left" vertical="center"/>
    </xf>
    <xf numFmtId="173" fontId="36" fillId="0" borderId="0" xfId="0" applyNumberFormat="1" applyFont="1"/>
    <xf numFmtId="0" fontId="77" fillId="0" borderId="0" xfId="0" applyFont="1" applyAlignment="1">
      <alignment vertical="center"/>
    </xf>
    <xf numFmtId="0" fontId="77" fillId="0" borderId="0" xfId="0" applyFont="1" applyAlignment="1">
      <alignment horizontal="right" vertical="center" wrapText="1"/>
    </xf>
    <xf numFmtId="0" fontId="76" fillId="0" borderId="15" xfId="0" applyFont="1" applyBorder="1" applyAlignment="1">
      <alignment horizontal="center" vertical="center"/>
    </xf>
    <xf numFmtId="0" fontId="76" fillId="0" borderId="0" xfId="0" applyFont="1" applyAlignment="1">
      <alignment vertical="center"/>
    </xf>
    <xf numFmtId="0" fontId="76" fillId="0" borderId="0" xfId="0" applyFont="1" applyAlignment="1">
      <alignment horizontal="left" vertical="center"/>
    </xf>
    <xf numFmtId="0" fontId="76" fillId="0" borderId="0" xfId="0" applyFont="1" applyAlignment="1">
      <alignment horizontal="right" vertical="center"/>
    </xf>
    <xf numFmtId="0" fontId="75" fillId="0" borderId="0" xfId="0" applyFont="1" applyAlignment="1">
      <alignment vertical="center"/>
    </xf>
    <xf numFmtId="2" fontId="7" fillId="0" borderId="0" xfId="0" applyNumberFormat="1" applyFont="1" applyAlignment="1">
      <alignment horizontal="center" vertical="center"/>
    </xf>
    <xf numFmtId="0" fontId="81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65" fillId="4" borderId="59" xfId="0" applyFont="1" applyFill="1" applyBorder="1" applyAlignment="1">
      <alignment horizontal="left" vertical="center"/>
    </xf>
    <xf numFmtId="0" fontId="65" fillId="4" borderId="58" xfId="0" applyFont="1" applyFill="1" applyBorder="1" applyAlignment="1">
      <alignment horizontal="left" vertical="center"/>
    </xf>
    <xf numFmtId="1" fontId="0" fillId="0" borderId="0" xfId="0" applyNumberFormat="1" applyAlignment="1">
      <alignment horizontal="right"/>
    </xf>
    <xf numFmtId="180" fontId="0" fillId="0" borderId="0" xfId="0" applyNumberFormat="1" applyAlignment="1">
      <alignment horizontal="right"/>
    </xf>
    <xf numFmtId="182" fontId="0" fillId="0" borderId="0" xfId="0" applyNumberFormat="1"/>
    <xf numFmtId="0" fontId="15" fillId="0" borderId="21" xfId="0" applyFont="1" applyBorder="1"/>
    <xf numFmtId="0" fontId="65" fillId="4" borderId="57" xfId="0" applyFont="1" applyFill="1" applyBorder="1" applyAlignment="1">
      <alignment vertical="center"/>
    </xf>
    <xf numFmtId="0" fontId="65" fillId="4" borderId="59" xfId="0" applyFont="1" applyFill="1" applyBorder="1" applyAlignment="1">
      <alignment vertical="center"/>
    </xf>
    <xf numFmtId="0" fontId="65" fillId="4" borderId="58" xfId="0" applyFont="1" applyFill="1" applyBorder="1" applyAlignment="1">
      <alignment vertical="center"/>
    </xf>
    <xf numFmtId="0" fontId="3" fillId="4" borderId="57" xfId="0" applyFont="1" applyFill="1" applyBorder="1" applyAlignment="1">
      <alignment vertical="center"/>
    </xf>
    <xf numFmtId="0" fontId="3" fillId="4" borderId="59" xfId="0" applyFont="1" applyFill="1" applyBorder="1" applyAlignment="1">
      <alignment vertical="center"/>
    </xf>
    <xf numFmtId="0" fontId="3" fillId="4" borderId="58" xfId="0" applyFont="1" applyFill="1" applyBorder="1" applyAlignment="1">
      <alignment vertical="center"/>
    </xf>
    <xf numFmtId="4" fontId="66" fillId="8" borderId="0" xfId="0" applyNumberFormat="1" applyFont="1" applyFill="1"/>
    <xf numFmtId="4" fontId="66" fillId="8" borderId="66" xfId="0" applyNumberFormat="1" applyFont="1" applyFill="1" applyBorder="1"/>
    <xf numFmtId="0" fontId="66" fillId="8" borderId="68" xfId="0" applyFont="1" applyFill="1" applyBorder="1"/>
    <xf numFmtId="0" fontId="66" fillId="8" borderId="69" xfId="0" applyFont="1" applyFill="1" applyBorder="1" applyAlignment="1">
      <alignment horizontal="left"/>
    </xf>
    <xf numFmtId="0" fontId="66" fillId="8" borderId="70" xfId="0" applyFont="1" applyFill="1" applyBorder="1"/>
    <xf numFmtId="0" fontId="66" fillId="8" borderId="71" xfId="0" applyFont="1" applyFill="1" applyBorder="1" applyAlignment="1">
      <alignment horizontal="left"/>
    </xf>
    <xf numFmtId="0" fontId="0" fillId="8" borderId="70" xfId="0" applyFill="1" applyBorder="1"/>
    <xf numFmtId="0" fontId="67" fillId="8" borderId="71" xfId="0" applyFont="1" applyFill="1" applyBorder="1" applyAlignment="1">
      <alignment horizontal="left"/>
    </xf>
    <xf numFmtId="0" fontId="82" fillId="4" borderId="70" xfId="0" applyFont="1" applyFill="1" applyBorder="1" applyAlignment="1">
      <alignment horizontal="center"/>
    </xf>
    <xf numFmtId="0" fontId="66" fillId="8" borderId="71" xfId="0" applyFont="1" applyFill="1" applyBorder="1"/>
    <xf numFmtId="0" fontId="66" fillId="8" borderId="72" xfId="0" applyFont="1" applyFill="1" applyBorder="1" applyAlignment="1">
      <alignment horizontal="right"/>
    </xf>
    <xf numFmtId="0" fontId="66" fillId="8" borderId="73" xfId="0" applyFont="1" applyFill="1" applyBorder="1" applyAlignment="1">
      <alignment horizontal="right"/>
    </xf>
    <xf numFmtId="0" fontId="37" fillId="0" borderId="0" xfId="0" applyFont="1" applyAlignment="1">
      <alignment horizontal="left" vertical="center"/>
    </xf>
    <xf numFmtId="0" fontId="48" fillId="0" borderId="0" xfId="0" applyFont="1" applyAlignment="1">
      <alignment horizontal="left"/>
    </xf>
    <xf numFmtId="0" fontId="8" fillId="0" borderId="0" xfId="0" applyFont="1" applyAlignment="1">
      <alignment horizontal="left" vertical="center"/>
    </xf>
    <xf numFmtId="0" fontId="13" fillId="0" borderId="15" xfId="0" applyFont="1" applyBorder="1" applyAlignment="1">
      <alignment horizontal="center" vertical="center" wrapText="1"/>
    </xf>
    <xf numFmtId="0" fontId="13" fillId="3" borderId="39" xfId="0" applyFont="1" applyFill="1" applyBorder="1" applyAlignment="1">
      <alignment horizontal="center" vertical="center" wrapText="1"/>
    </xf>
    <xf numFmtId="0" fontId="7" fillId="4" borderId="9" xfId="0" applyFont="1" applyFill="1" applyBorder="1" applyAlignment="1" applyProtection="1">
      <alignment horizontal="left" vertical="center"/>
      <protection locked="0"/>
    </xf>
    <xf numFmtId="0" fontId="7" fillId="4" borderId="11" xfId="0" applyFont="1" applyFill="1" applyBorder="1" applyAlignment="1" applyProtection="1">
      <alignment horizontal="left" vertical="center"/>
      <protection locked="0"/>
    </xf>
    <xf numFmtId="0" fontId="8" fillId="0" borderId="0" xfId="0" applyFont="1"/>
    <xf numFmtId="0" fontId="3" fillId="0" borderId="0" xfId="0" applyFont="1" applyAlignment="1">
      <alignment horizontal="left" vertical="top"/>
    </xf>
    <xf numFmtId="0" fontId="15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right" vertical="top"/>
    </xf>
    <xf numFmtId="2" fontId="15" fillId="0" borderId="0" xfId="0" applyNumberFormat="1" applyFont="1" applyAlignment="1">
      <alignment horizontal="center" vertical="center"/>
    </xf>
    <xf numFmtId="166" fontId="0" fillId="0" borderId="0" xfId="0" applyNumberFormat="1" applyAlignment="1">
      <alignment horizontal="center" vertical="top"/>
    </xf>
    <xf numFmtId="0" fontId="86" fillId="0" borderId="0" xfId="0" applyFont="1"/>
    <xf numFmtId="0" fontId="9" fillId="0" borderId="0" xfId="0" applyFont="1" applyAlignment="1">
      <alignment horizontal="right"/>
    </xf>
    <xf numFmtId="0" fontId="0" fillId="4" borderId="5" xfId="0" applyFill="1" applyBorder="1" applyAlignment="1">
      <alignment horizontal="right"/>
    </xf>
    <xf numFmtId="0" fontId="7" fillId="3" borderId="0" xfId="0" applyFont="1" applyFill="1" applyAlignment="1">
      <alignment horizontal="center" vertical="center" textRotation="90"/>
    </xf>
    <xf numFmtId="1" fontId="19" fillId="3" borderId="38" xfId="0" applyNumberFormat="1" applyFont="1" applyFill="1" applyBorder="1" applyAlignment="1">
      <alignment horizontal="center" vertical="center"/>
    </xf>
    <xf numFmtId="0" fontId="7" fillId="4" borderId="74" xfId="0" applyFont="1" applyFill="1" applyBorder="1" applyAlignment="1">
      <alignment horizontal="left" vertical="center"/>
    </xf>
    <xf numFmtId="0" fontId="0" fillId="0" borderId="78" xfId="0" applyBorder="1" applyAlignment="1">
      <alignment vertical="center"/>
    </xf>
    <xf numFmtId="0" fontId="7" fillId="4" borderId="75" xfId="0" applyFont="1" applyFill="1" applyBorder="1" applyAlignment="1">
      <alignment horizontal="left" vertical="center"/>
    </xf>
    <xf numFmtId="10" fontId="7" fillId="4" borderId="77" xfId="0" applyNumberFormat="1" applyFont="1" applyFill="1" applyBorder="1" applyAlignment="1">
      <alignment horizontal="left" vertical="center"/>
    </xf>
    <xf numFmtId="165" fontId="7" fillId="3" borderId="80" xfId="0" applyNumberFormat="1" applyFont="1" applyFill="1" applyBorder="1" applyAlignment="1">
      <alignment vertical="center"/>
    </xf>
    <xf numFmtId="167" fontId="3" fillId="3" borderId="79" xfId="0" applyNumberFormat="1" applyFont="1" applyFill="1" applyBorder="1" applyAlignment="1">
      <alignment horizontal="left" vertical="center"/>
    </xf>
    <xf numFmtId="0" fontId="7" fillId="3" borderId="79" xfId="0" applyFont="1" applyFill="1" applyBorder="1" applyAlignment="1">
      <alignment horizontal="left" vertical="center"/>
    </xf>
    <xf numFmtId="0" fontId="7" fillId="3" borderId="80" xfId="0" applyFont="1" applyFill="1" applyBorder="1" applyAlignment="1">
      <alignment vertical="center"/>
    </xf>
    <xf numFmtId="0" fontId="7" fillId="3" borderId="80" xfId="0" applyFont="1" applyFill="1" applyBorder="1" applyAlignment="1">
      <alignment horizontal="left" vertical="center"/>
    </xf>
    <xf numFmtId="0" fontId="46" fillId="3" borderId="79" xfId="0" applyFont="1" applyFill="1" applyBorder="1" applyAlignment="1">
      <alignment horizontal="left"/>
    </xf>
    <xf numFmtId="165" fontId="7" fillId="0" borderId="77" xfId="0" applyNumberFormat="1" applyFont="1" applyBorder="1" applyAlignment="1">
      <alignment horizontal="center" vertical="center"/>
    </xf>
    <xf numFmtId="0" fontId="46" fillId="3" borderId="8" xfId="0" applyFont="1" applyFill="1" applyBorder="1" applyAlignment="1">
      <alignment horizontal="left"/>
    </xf>
    <xf numFmtId="0" fontId="15" fillId="0" borderId="6" xfId="0" applyFont="1" applyBorder="1" applyAlignment="1">
      <alignment horizontal="center" vertical="center" wrapText="1"/>
    </xf>
    <xf numFmtId="165" fontId="60" fillId="0" borderId="0" xfId="0" applyNumberFormat="1" applyFont="1" applyAlignment="1">
      <alignment vertical="center"/>
    </xf>
    <xf numFmtId="0" fontId="7" fillId="0" borderId="15" xfId="0" applyFont="1" applyBorder="1" applyAlignment="1">
      <alignment horizontal="center" vertical="center"/>
    </xf>
    <xf numFmtId="177" fontId="7" fillId="0" borderId="15" xfId="0" applyNumberFormat="1" applyFont="1" applyBorder="1" applyAlignment="1">
      <alignment horizontal="center" vertical="center"/>
    </xf>
    <xf numFmtId="183" fontId="7" fillId="0" borderId="0" xfId="0" applyNumberFormat="1" applyFont="1" applyAlignment="1">
      <alignment horizontal="center" vertical="center"/>
    </xf>
    <xf numFmtId="167" fontId="0" fillId="0" borderId="6" xfId="0" applyNumberFormat="1" applyBorder="1" applyAlignment="1">
      <alignment horizontal="left"/>
    </xf>
    <xf numFmtId="1" fontId="0" fillId="0" borderId="6" xfId="0" applyNumberFormat="1" applyBorder="1" applyAlignment="1">
      <alignment horizontal="center"/>
    </xf>
    <xf numFmtId="0" fontId="7" fillId="3" borderId="39" xfId="0" applyFont="1" applyFill="1" applyBorder="1" applyAlignment="1">
      <alignment horizontal="center" vertical="center"/>
    </xf>
    <xf numFmtId="167" fontId="0" fillId="0" borderId="6" xfId="0" applyNumberFormat="1" applyBorder="1" applyAlignment="1">
      <alignment horizontal="right"/>
    </xf>
    <xf numFmtId="170" fontId="2" fillId="0" borderId="0" xfId="0" applyNumberFormat="1" applyFont="1" applyAlignment="1">
      <alignment horizontal="right"/>
    </xf>
    <xf numFmtId="165" fontId="9" fillId="0" borderId="0" xfId="0" applyNumberFormat="1" applyFont="1"/>
    <xf numFmtId="4" fontId="0" fillId="4" borderId="8" xfId="0" applyNumberFormat="1" applyFill="1" applyBorder="1" applyAlignment="1">
      <alignment vertical="center"/>
    </xf>
    <xf numFmtId="0" fontId="13" fillId="0" borderId="41" xfId="0" applyFont="1" applyBorder="1" applyAlignment="1">
      <alignment horizontal="center" vertical="center" wrapText="1"/>
    </xf>
    <xf numFmtId="0" fontId="7" fillId="3" borderId="40" xfId="0" applyFont="1" applyFill="1" applyBorder="1" applyAlignment="1">
      <alignment vertical="center"/>
    </xf>
    <xf numFmtId="0" fontId="7" fillId="3" borderId="79" xfId="0" applyFont="1" applyFill="1" applyBorder="1"/>
    <xf numFmtId="0" fontId="87" fillId="3" borderId="8" xfId="0" applyFont="1" applyFill="1" applyBorder="1" applyAlignment="1">
      <alignment horizontal="right" vertical="top"/>
    </xf>
    <xf numFmtId="165" fontId="87" fillId="3" borderId="8" xfId="0" applyNumberFormat="1" applyFont="1" applyFill="1" applyBorder="1" applyAlignment="1">
      <alignment horizontal="right" vertical="top"/>
    </xf>
    <xf numFmtId="0" fontId="87" fillId="3" borderId="0" xfId="0" applyFont="1" applyFill="1" applyAlignment="1">
      <alignment horizontal="right" vertical="top"/>
    </xf>
    <xf numFmtId="165" fontId="87" fillId="3" borderId="0" xfId="0" applyNumberFormat="1" applyFont="1" applyFill="1" applyAlignment="1">
      <alignment horizontal="right" vertical="top"/>
    </xf>
    <xf numFmtId="0" fontId="35" fillId="4" borderId="9" xfId="0" applyFont="1" applyFill="1" applyBorder="1" applyAlignment="1">
      <alignment vertical="center"/>
    </xf>
    <xf numFmtId="0" fontId="35" fillId="4" borderId="10" xfId="0" applyFont="1" applyFill="1" applyBorder="1" applyAlignment="1">
      <alignment vertical="center"/>
    </xf>
    <xf numFmtId="0" fontId="35" fillId="4" borderId="11" xfId="0" applyFont="1" applyFill="1" applyBorder="1" applyAlignment="1">
      <alignment vertical="center"/>
    </xf>
    <xf numFmtId="0" fontId="0" fillId="9" borderId="0" xfId="0" applyFill="1"/>
    <xf numFmtId="14" fontId="0" fillId="9" borderId="0" xfId="0" applyNumberFormat="1" applyFill="1" applyAlignment="1">
      <alignment horizontal="left"/>
    </xf>
    <xf numFmtId="0" fontId="2" fillId="9" borderId="3" xfId="0" applyFont="1" applyFill="1" applyBorder="1"/>
    <xf numFmtId="0" fontId="7" fillId="4" borderId="9" xfId="0" applyFont="1" applyFill="1" applyBorder="1" applyAlignment="1">
      <alignment vertical="center"/>
    </xf>
    <xf numFmtId="0" fontId="7" fillId="4" borderId="11" xfId="0" applyFont="1" applyFill="1" applyBorder="1" applyAlignment="1">
      <alignment vertical="center"/>
    </xf>
    <xf numFmtId="0" fontId="0" fillId="0" borderId="82" xfId="0" applyBorder="1"/>
    <xf numFmtId="0" fontId="88" fillId="0" borderId="0" xfId="0" applyFont="1" applyAlignment="1">
      <alignment horizontal="center" vertical="center"/>
    </xf>
    <xf numFmtId="49" fontId="0" fillId="0" borderId="83" xfId="0" applyNumberFormat="1" applyBorder="1" applyAlignment="1">
      <alignment horizontal="center" vertical="center"/>
    </xf>
    <xf numFmtId="0" fontId="0" fillId="0" borderId="83" xfId="0" applyBorder="1" applyAlignment="1">
      <alignment horizontal="center" vertical="center"/>
    </xf>
    <xf numFmtId="169" fontId="88" fillId="0" borderId="0" xfId="0" applyNumberFormat="1" applyFont="1" applyAlignment="1">
      <alignment horizontal="center" vertical="center"/>
    </xf>
    <xf numFmtId="169" fontId="0" fillId="0" borderId="83" xfId="0" applyNumberFormat="1" applyBorder="1" applyAlignment="1">
      <alignment horizontal="center" vertical="center"/>
    </xf>
    <xf numFmtId="166" fontId="88" fillId="0" borderId="0" xfId="0" applyNumberFormat="1" applyFont="1" applyAlignment="1">
      <alignment horizontal="center" vertical="center"/>
    </xf>
    <xf numFmtId="166" fontId="0" fillId="0" borderId="83" xfId="0" applyNumberFormat="1" applyBorder="1" applyAlignment="1">
      <alignment horizontal="center" vertical="center"/>
    </xf>
    <xf numFmtId="0" fontId="89" fillId="0" borderId="0" xfId="0" applyFont="1" applyAlignment="1">
      <alignment vertical="center"/>
    </xf>
    <xf numFmtId="0" fontId="63" fillId="0" borderId="0" xfId="0" applyFont="1" applyAlignment="1">
      <alignment vertical="center"/>
    </xf>
    <xf numFmtId="4" fontId="63" fillId="0" borderId="83" xfId="0" applyNumberFormat="1" applyFont="1" applyBorder="1" applyAlignment="1">
      <alignment horizontal="center" vertical="center"/>
    </xf>
    <xf numFmtId="2" fontId="0" fillId="0" borderId="83" xfId="0" applyNumberFormat="1" applyBorder="1" applyAlignment="1">
      <alignment horizontal="right" vertical="center"/>
    </xf>
    <xf numFmtId="0" fontId="0" fillId="0" borderId="83" xfId="0" applyBorder="1" applyAlignment="1">
      <alignment vertical="center"/>
    </xf>
    <xf numFmtId="2" fontId="0" fillId="0" borderId="83" xfId="0" applyNumberFormat="1" applyBorder="1" applyAlignment="1">
      <alignment horizontal="center" vertical="center"/>
    </xf>
    <xf numFmtId="4" fontId="0" fillId="0" borderId="83" xfId="0" applyNumberFormat="1" applyBorder="1" applyAlignment="1">
      <alignment horizontal="center" vertical="center"/>
    </xf>
    <xf numFmtId="0" fontId="0" fillId="0" borderId="84" xfId="0" applyBorder="1" applyAlignment="1">
      <alignment horizontal="center" vertical="center"/>
    </xf>
    <xf numFmtId="0" fontId="0" fillId="0" borderId="84" xfId="0" applyBorder="1" applyAlignment="1">
      <alignment vertical="center"/>
    </xf>
    <xf numFmtId="0" fontId="2" fillId="0" borderId="0" xfId="0" applyFont="1" applyAlignment="1">
      <alignment horizontal="center"/>
    </xf>
    <xf numFmtId="0" fontId="90" fillId="0" borderId="0" xfId="1" applyFont="1" applyAlignment="1">
      <alignment vertical="center"/>
    </xf>
    <xf numFmtId="9" fontId="90" fillId="0" borderId="0" xfId="1" applyNumberFormat="1" applyFont="1" applyAlignment="1">
      <alignment vertical="center"/>
    </xf>
    <xf numFmtId="49" fontId="7" fillId="0" borderId="0" xfId="0" applyNumberFormat="1" applyFont="1" applyAlignment="1">
      <alignment horizontal="center" vertical="center"/>
    </xf>
    <xf numFmtId="4" fontId="36" fillId="0" borderId="0" xfId="0" applyNumberFormat="1" applyFont="1"/>
    <xf numFmtId="2" fontId="91" fillId="3" borderId="0" xfId="0" applyNumberFormat="1" applyFont="1" applyFill="1" applyAlignment="1">
      <alignment horizontal="center" vertical="center"/>
    </xf>
    <xf numFmtId="4" fontId="36" fillId="0" borderId="0" xfId="0" applyNumberFormat="1" applyFont="1" applyAlignment="1">
      <alignment horizontal="center" vertical="center"/>
    </xf>
    <xf numFmtId="0" fontId="76" fillId="0" borderId="0" xfId="0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0" fontId="7" fillId="0" borderId="0" xfId="0" applyNumberFormat="1" applyFont="1" applyAlignment="1">
      <alignment horizontal="center" vertical="center"/>
    </xf>
    <xf numFmtId="0" fontId="7" fillId="4" borderId="10" xfId="0" applyFont="1" applyFill="1" applyBorder="1" applyAlignment="1">
      <alignment vertical="center"/>
    </xf>
    <xf numFmtId="165" fontId="7" fillId="0" borderId="8" xfId="0" applyNumberFormat="1" applyFont="1" applyBorder="1" applyAlignment="1">
      <alignment horizontal="center" vertical="center"/>
    </xf>
    <xf numFmtId="0" fontId="92" fillId="0" borderId="0" xfId="0" applyFont="1" applyAlignment="1">
      <alignment horizontal="left" vertical="center"/>
    </xf>
    <xf numFmtId="0" fontId="92" fillId="0" borderId="0" xfId="0" applyFont="1" applyAlignment="1">
      <alignment horizontal="right" vertical="center"/>
    </xf>
    <xf numFmtId="0" fontId="93" fillId="0" borderId="0" xfId="1" applyFont="1"/>
    <xf numFmtId="0" fontId="92" fillId="0" borderId="0" xfId="0" applyFont="1" applyAlignment="1">
      <alignment horizontal="left"/>
    </xf>
    <xf numFmtId="0" fontId="92" fillId="0" borderId="0" xfId="0" applyFont="1" applyAlignment="1">
      <alignment horizontal="right"/>
    </xf>
    <xf numFmtId="0" fontId="92" fillId="0" borderId="0" xfId="0" applyFont="1"/>
    <xf numFmtId="4" fontId="38" fillId="0" borderId="0" xfId="0" applyNumberFormat="1" applyFont="1" applyAlignment="1">
      <alignment horizontal="center" vertical="center"/>
    </xf>
    <xf numFmtId="0" fontId="94" fillId="0" borderId="0" xfId="0" applyFont="1" applyAlignment="1">
      <alignment vertical="center"/>
    </xf>
    <xf numFmtId="0" fontId="95" fillId="0" borderId="0" xfId="0" applyFont="1" applyAlignment="1">
      <alignment horizontal="right" vertical="center"/>
    </xf>
    <xf numFmtId="0" fontId="95" fillId="0" borderId="0" xfId="0" applyFont="1" applyAlignment="1">
      <alignment vertical="center"/>
    </xf>
    <xf numFmtId="4" fontId="95" fillId="0" borderId="0" xfId="0" applyNumberFormat="1" applyFont="1" applyAlignment="1">
      <alignment vertical="center"/>
    </xf>
    <xf numFmtId="0" fontId="49" fillId="0" borderId="0" xfId="0" applyFont="1" applyAlignment="1">
      <alignment vertical="center"/>
    </xf>
    <xf numFmtId="0" fontId="96" fillId="0" borderId="0" xfId="1" applyFont="1"/>
    <xf numFmtId="0" fontId="97" fillId="0" borderId="0" xfId="0" applyFont="1" applyAlignment="1">
      <alignment vertical="center"/>
    </xf>
    <xf numFmtId="185" fontId="96" fillId="0" borderId="0" xfId="1" applyNumberFormat="1" applyFont="1"/>
    <xf numFmtId="4" fontId="39" fillId="0" borderId="0" xfId="0" applyNumberFormat="1" applyFont="1"/>
    <xf numFmtId="4" fontId="43" fillId="0" borderId="0" xfId="0" applyNumberFormat="1" applyFont="1"/>
    <xf numFmtId="166" fontId="7" fillId="4" borderId="8" xfId="0" applyNumberFormat="1" applyFont="1" applyFill="1" applyBorder="1" applyAlignment="1">
      <alignment horizontal="center"/>
    </xf>
    <xf numFmtId="0" fontId="98" fillId="0" borderId="0" xfId="0" applyFont="1" applyAlignment="1">
      <alignment horizontal="right"/>
    </xf>
    <xf numFmtId="2" fontId="98" fillId="0" borderId="0" xfId="0" applyNumberFormat="1" applyFont="1"/>
    <xf numFmtId="3" fontId="7" fillId="4" borderId="8" xfId="0" applyNumberFormat="1" applyFont="1" applyFill="1" applyBorder="1" applyAlignment="1">
      <alignment horizontal="center"/>
    </xf>
    <xf numFmtId="0" fontId="99" fillId="0" borderId="0" xfId="0" applyFont="1"/>
    <xf numFmtId="0" fontId="100" fillId="0" borderId="0" xfId="0" applyFont="1"/>
    <xf numFmtId="4" fontId="7" fillId="3" borderId="8" xfId="0" applyNumberFormat="1" applyFont="1" applyFill="1" applyBorder="1" applyAlignment="1">
      <alignment horizontal="center" vertical="center"/>
    </xf>
    <xf numFmtId="165" fontId="0" fillId="4" borderId="8" xfId="0" applyNumberFormat="1" applyFill="1" applyBorder="1" applyAlignment="1">
      <alignment horizontal="center" vertical="center"/>
    </xf>
    <xf numFmtId="0" fontId="101" fillId="0" borderId="0" xfId="0" applyFont="1"/>
    <xf numFmtId="0" fontId="102" fillId="0" borderId="0" xfId="0" applyFont="1"/>
    <xf numFmtId="9" fontId="7" fillId="4" borderId="8" xfId="0" applyNumberFormat="1" applyFont="1" applyFill="1" applyBorder="1" applyAlignment="1">
      <alignment horizontal="center" vertical="center"/>
    </xf>
    <xf numFmtId="0" fontId="88" fillId="3" borderId="8" xfId="0" applyFont="1" applyFill="1" applyBorder="1" applyAlignment="1">
      <alignment vertical="top"/>
    </xf>
    <xf numFmtId="0" fontId="88" fillId="3" borderId="8" xfId="0" applyFont="1" applyFill="1" applyBorder="1" applyAlignment="1">
      <alignment vertical="center"/>
    </xf>
    <xf numFmtId="4" fontId="103" fillId="0" borderId="0" xfId="0" applyNumberFormat="1" applyFont="1"/>
    <xf numFmtId="0" fontId="34" fillId="0" borderId="0" xfId="0" applyFont="1"/>
    <xf numFmtId="173" fontId="104" fillId="0" borderId="0" xfId="0" applyNumberFormat="1" applyFont="1" applyProtection="1">
      <protection locked="0"/>
    </xf>
    <xf numFmtId="1" fontId="104" fillId="0" borderId="0" xfId="0" applyNumberFormat="1" applyFont="1" applyProtection="1">
      <protection locked="0"/>
    </xf>
    <xf numFmtId="2" fontId="104" fillId="0" borderId="0" xfId="0" applyNumberFormat="1" applyFont="1" applyProtection="1">
      <protection locked="0"/>
    </xf>
    <xf numFmtId="0" fontId="105" fillId="0" borderId="0" xfId="0" applyFont="1"/>
    <xf numFmtId="4" fontId="105" fillId="0" borderId="0" xfId="0" applyNumberFormat="1" applyFont="1"/>
    <xf numFmtId="0" fontId="106" fillId="0" borderId="0" xfId="0" applyFont="1"/>
    <xf numFmtId="4" fontId="106" fillId="0" borderId="0" xfId="0" applyNumberFormat="1" applyFont="1"/>
    <xf numFmtId="4" fontId="0" fillId="0" borderId="0" xfId="0" applyNumberFormat="1" applyAlignment="1">
      <alignment horizontal="center"/>
    </xf>
    <xf numFmtId="3" fontId="0" fillId="0" borderId="0" xfId="0" applyNumberFormat="1" applyAlignment="1">
      <alignment horizontal="center"/>
    </xf>
    <xf numFmtId="165" fontId="0" fillId="0" borderId="0" xfId="0" applyNumberFormat="1" applyAlignment="1">
      <alignment horizontal="left"/>
    </xf>
    <xf numFmtId="0" fontId="9" fillId="3" borderId="8" xfId="0" applyFont="1" applyFill="1" applyBorder="1" applyAlignment="1">
      <alignment vertical="center"/>
    </xf>
    <xf numFmtId="165" fontId="7" fillId="4" borderId="8" xfId="0" applyNumberFormat="1" applyFont="1" applyFill="1" applyBorder="1" applyAlignment="1">
      <alignment horizontal="center"/>
    </xf>
    <xf numFmtId="0" fontId="99" fillId="0" borderId="0" xfId="1" applyFont="1"/>
    <xf numFmtId="0" fontId="34" fillId="0" borderId="0" xfId="1"/>
    <xf numFmtId="0" fontId="105" fillId="0" borderId="0" xfId="1" applyFont="1"/>
    <xf numFmtId="4" fontId="99" fillId="0" borderId="0" xfId="1" applyNumberFormat="1" applyFont="1"/>
    <xf numFmtId="1" fontId="107" fillId="0" borderId="0" xfId="1" applyNumberFormat="1" applyFont="1" applyProtection="1">
      <protection locked="0"/>
    </xf>
    <xf numFmtId="173" fontId="107" fillId="0" borderId="0" xfId="1" applyNumberFormat="1" applyFont="1" applyProtection="1">
      <protection locked="0"/>
    </xf>
    <xf numFmtId="4" fontId="107" fillId="0" borderId="0" xfId="1" applyNumberFormat="1" applyFont="1" applyProtection="1">
      <protection locked="0"/>
    </xf>
    <xf numFmtId="4" fontId="106" fillId="0" borderId="0" xfId="1" applyNumberFormat="1" applyFont="1"/>
    <xf numFmtId="4" fontId="105" fillId="0" borderId="0" xfId="1" applyNumberFormat="1" applyFont="1"/>
    <xf numFmtId="4" fontId="108" fillId="0" borderId="0" xfId="1" applyNumberFormat="1" applyFont="1"/>
    <xf numFmtId="4" fontId="109" fillId="0" borderId="0" xfId="1" applyNumberFormat="1" applyFont="1"/>
    <xf numFmtId="165" fontId="0" fillId="0" borderId="0" xfId="0" applyNumberFormat="1" applyAlignment="1">
      <alignment horizontal="center"/>
    </xf>
    <xf numFmtId="166" fontId="7" fillId="4" borderId="0" xfId="0" applyNumberFormat="1" applyFont="1" applyFill="1" applyAlignment="1">
      <alignment horizontal="center"/>
    </xf>
    <xf numFmtId="3" fontId="7" fillId="4" borderId="0" xfId="0" applyNumberFormat="1" applyFont="1" applyFill="1" applyAlignment="1">
      <alignment horizontal="center"/>
    </xf>
    <xf numFmtId="165" fontId="7" fillId="4" borderId="0" xfId="0" applyNumberFormat="1" applyFont="1" applyFill="1" applyAlignment="1">
      <alignment horizontal="center"/>
    </xf>
    <xf numFmtId="0" fontId="0" fillId="0" borderId="0" xfId="0" applyAlignment="1">
      <alignment vertical="top"/>
    </xf>
    <xf numFmtId="170" fontId="0" fillId="0" borderId="0" xfId="0" applyNumberFormat="1" applyAlignment="1">
      <alignment horizontal="left" vertical="top"/>
    </xf>
    <xf numFmtId="10" fontId="0" fillId="0" borderId="0" xfId="0" applyNumberFormat="1" applyAlignment="1">
      <alignment vertical="top"/>
    </xf>
    <xf numFmtId="0" fontId="45" fillId="9" borderId="0" xfId="2" applyFill="1"/>
    <xf numFmtId="0" fontId="15" fillId="0" borderId="26" xfId="0" applyFont="1" applyBorder="1"/>
    <xf numFmtId="175" fontId="7" fillId="3" borderId="0" xfId="0" applyNumberFormat="1" applyFont="1" applyFill="1" applyAlignment="1">
      <alignment vertical="center"/>
    </xf>
    <xf numFmtId="3" fontId="7" fillId="0" borderId="0" xfId="0" applyNumberFormat="1" applyFont="1" applyAlignment="1">
      <alignment vertical="center"/>
    </xf>
    <xf numFmtId="165" fontId="20" fillId="0" borderId="0" xfId="0" applyNumberFormat="1" applyFont="1" applyAlignment="1">
      <alignment horizontal="right"/>
    </xf>
    <xf numFmtId="0" fontId="112" fillId="0" borderId="0" xfId="0" applyFont="1" applyAlignment="1">
      <alignment horizontal="left"/>
    </xf>
    <xf numFmtId="0" fontId="112" fillId="0" borderId="0" xfId="0" applyFont="1" applyAlignment="1">
      <alignment vertical="center"/>
    </xf>
    <xf numFmtId="168" fontId="112" fillId="0" borderId="0" xfId="0" applyNumberFormat="1" applyFont="1" applyAlignment="1">
      <alignment vertical="center"/>
    </xf>
    <xf numFmtId="4" fontId="112" fillId="0" borderId="0" xfId="0" applyNumberFormat="1" applyFont="1" applyAlignment="1">
      <alignment vertical="center"/>
    </xf>
    <xf numFmtId="0" fontId="112" fillId="0" borderId="0" xfId="0" applyFont="1" applyAlignment="1">
      <alignment horizontal="left" vertical="center"/>
    </xf>
    <xf numFmtId="3" fontId="112" fillId="0" borderId="0" xfId="0" applyNumberFormat="1" applyFont="1" applyAlignment="1">
      <alignment vertical="center"/>
    </xf>
    <xf numFmtId="2" fontId="112" fillId="0" borderId="0" xfId="0" applyNumberFormat="1" applyFont="1" applyAlignment="1">
      <alignment vertical="center"/>
    </xf>
    <xf numFmtId="2" fontId="112" fillId="0" borderId="18" xfId="0" applyNumberFormat="1" applyFont="1" applyBorder="1" applyAlignment="1">
      <alignment vertical="center"/>
    </xf>
    <xf numFmtId="2" fontId="112" fillId="0" borderId="13" xfId="0" applyNumberFormat="1" applyFont="1" applyBorder="1" applyAlignment="1">
      <alignment vertical="center"/>
    </xf>
    <xf numFmtId="0" fontId="112" fillId="0" borderId="0" xfId="0" applyFont="1"/>
    <xf numFmtId="0" fontId="113" fillId="0" borderId="0" xfId="0" applyFont="1" applyAlignment="1">
      <alignment horizontal="left" vertical="center"/>
    </xf>
    <xf numFmtId="0" fontId="114" fillId="0" borderId="0" xfId="0" applyFont="1" applyAlignment="1">
      <alignment horizontal="left"/>
    </xf>
    <xf numFmtId="0" fontId="115" fillId="0" borderId="0" xfId="0" applyFont="1" applyAlignment="1">
      <alignment horizontal="left"/>
    </xf>
    <xf numFmtId="0" fontId="116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2" fontId="1" fillId="0" borderId="0" xfId="0" applyNumberFormat="1" applyFont="1" applyAlignment="1">
      <alignment vertical="center"/>
    </xf>
    <xf numFmtId="3" fontId="1" fillId="0" borderId="0" xfId="0" applyNumberFormat="1" applyFont="1" applyAlignment="1">
      <alignment vertical="center"/>
    </xf>
    <xf numFmtId="0" fontId="117" fillId="0" borderId="0" xfId="0" applyFont="1" applyAlignment="1">
      <alignment vertical="center"/>
    </xf>
    <xf numFmtId="0" fontId="117" fillId="0" borderId="0" xfId="0" applyFont="1"/>
    <xf numFmtId="3" fontId="0" fillId="0" borderId="0" xfId="0" applyNumberFormat="1" applyAlignment="1">
      <alignment horizontal="right"/>
    </xf>
    <xf numFmtId="187" fontId="7" fillId="0" borderId="0" xfId="0" applyNumberFormat="1" applyFont="1" applyAlignment="1">
      <alignment vertical="center"/>
    </xf>
    <xf numFmtId="0" fontId="7" fillId="0" borderId="0" xfId="0" applyFont="1" applyAlignment="1">
      <alignment horizontal="left" vertical="center"/>
    </xf>
    <xf numFmtId="4" fontId="118" fillId="0" borderId="0" xfId="0" applyNumberFormat="1" applyFont="1"/>
    <xf numFmtId="0" fontId="11" fillId="3" borderId="0" xfId="0" applyFont="1" applyFill="1" applyAlignment="1">
      <alignment vertical="center"/>
    </xf>
    <xf numFmtId="168" fontId="112" fillId="0" borderId="0" xfId="0" applyNumberFormat="1" applyFont="1" applyAlignment="1">
      <alignment horizontal="right" vertical="center"/>
    </xf>
    <xf numFmtId="168" fontId="112" fillId="0" borderId="0" xfId="0" applyNumberFormat="1" applyFont="1" applyAlignment="1">
      <alignment horizontal="left" vertical="center"/>
    </xf>
    <xf numFmtId="187" fontId="7" fillId="3" borderId="0" xfId="0" applyNumberFormat="1" applyFont="1" applyFill="1" applyAlignment="1">
      <alignment vertical="center"/>
    </xf>
    <xf numFmtId="174" fontId="0" fillId="0" borderId="0" xfId="0" applyNumberFormat="1" applyAlignment="1">
      <alignment horizontal="left"/>
    </xf>
    <xf numFmtId="169" fontId="3" fillId="0" borderId="0" xfId="0" applyNumberFormat="1" applyFont="1"/>
    <xf numFmtId="0" fontId="58" fillId="3" borderId="0" xfId="0" applyFont="1" applyFill="1" applyAlignment="1">
      <alignment horizontal="left" vertical="center"/>
    </xf>
    <xf numFmtId="0" fontId="1" fillId="3" borderId="15" xfId="0" applyFont="1" applyFill="1" applyBorder="1" applyAlignment="1">
      <alignment horizontal="left" vertical="center"/>
    </xf>
    <xf numFmtId="2" fontId="11" fillId="3" borderId="0" xfId="0" applyNumberFormat="1" applyFont="1" applyFill="1" applyAlignment="1">
      <alignment vertical="center"/>
    </xf>
    <xf numFmtId="0" fontId="11" fillId="3" borderId="15" xfId="0" applyFont="1" applyFill="1" applyBorder="1" applyAlignment="1">
      <alignment horizontal="left" vertical="center"/>
    </xf>
    <xf numFmtId="188" fontId="112" fillId="3" borderId="0" xfId="0" applyNumberFormat="1" applyFont="1" applyFill="1"/>
    <xf numFmtId="0" fontId="7" fillId="0" borderId="88" xfId="0" applyFont="1" applyBorder="1" applyAlignment="1">
      <alignment horizontal="left" vertical="center"/>
    </xf>
    <xf numFmtId="2" fontId="7" fillId="0" borderId="88" xfId="0" applyNumberFormat="1" applyFont="1" applyBorder="1" applyAlignment="1">
      <alignment horizontal="right" vertical="center"/>
    </xf>
    <xf numFmtId="0" fontId="7" fillId="0" borderId="89" xfId="0" applyFont="1" applyBorder="1" applyAlignment="1">
      <alignment horizontal="left" vertical="center"/>
    </xf>
    <xf numFmtId="0" fontId="7" fillId="0" borderId="90" xfId="0" applyFont="1" applyBorder="1" applyAlignment="1">
      <alignment horizontal="right" vertical="center"/>
    </xf>
    <xf numFmtId="0" fontId="3" fillId="0" borderId="92" xfId="0" applyFont="1" applyBorder="1" applyAlignment="1">
      <alignment horizontal="center" vertical="center" wrapText="1"/>
    </xf>
    <xf numFmtId="0" fontId="0" fillId="0" borderId="91" xfId="0" applyBorder="1"/>
    <xf numFmtId="187" fontId="7" fillId="0" borderId="81" xfId="0" applyNumberFormat="1" applyFont="1" applyBorder="1" applyAlignment="1">
      <alignment vertical="center"/>
    </xf>
    <xf numFmtId="0" fontId="0" fillId="0" borderId="87" xfId="0" applyBorder="1"/>
    <xf numFmtId="187" fontId="7" fillId="0" borderId="93" xfId="0" applyNumberFormat="1" applyFont="1" applyBorder="1" applyAlignment="1">
      <alignment vertical="center"/>
    </xf>
    <xf numFmtId="0" fontId="0" fillId="0" borderId="94" xfId="0" applyBorder="1"/>
    <xf numFmtId="187" fontId="0" fillId="0" borderId="95" xfId="0" applyNumberFormat="1" applyBorder="1" applyAlignment="1">
      <alignment horizontal="right"/>
    </xf>
    <xf numFmtId="0" fontId="0" fillId="0" borderId="96" xfId="0" applyBorder="1" applyAlignment="1">
      <alignment vertical="center"/>
    </xf>
    <xf numFmtId="0" fontId="0" fillId="0" borderId="92" xfId="0" applyBorder="1"/>
    <xf numFmtId="170" fontId="0" fillId="0" borderId="92" xfId="0" applyNumberFormat="1" applyBorder="1" applyAlignment="1">
      <alignment horizontal="right"/>
    </xf>
    <xf numFmtId="4" fontId="0" fillId="0" borderId="0" xfId="0" applyNumberFormat="1" applyAlignment="1">
      <alignment horizontal="left"/>
    </xf>
    <xf numFmtId="0" fontId="15" fillId="0" borderId="0" xfId="0" applyFont="1" applyAlignment="1">
      <alignment vertical="top"/>
    </xf>
    <xf numFmtId="189" fontId="15" fillId="0" borderId="0" xfId="0" applyNumberFormat="1" applyFont="1" applyAlignment="1">
      <alignment horizontal="right" vertical="center"/>
    </xf>
    <xf numFmtId="0" fontId="7" fillId="3" borderId="9" xfId="0" applyFont="1" applyFill="1" applyBorder="1"/>
    <xf numFmtId="0" fontId="7" fillId="3" borderId="9" xfId="0" applyFont="1" applyFill="1" applyBorder="1" applyAlignment="1">
      <alignment vertical="center"/>
    </xf>
    <xf numFmtId="0" fontId="36" fillId="0" borderId="0" xfId="0" applyFont="1" applyAlignment="1">
      <alignment horizontal="center"/>
    </xf>
    <xf numFmtId="0" fontId="36" fillId="0" borderId="0" xfId="0" applyFont="1" applyAlignment="1">
      <alignment horizontal="center" vertical="center" wrapText="1"/>
    </xf>
    <xf numFmtId="188" fontId="36" fillId="0" borderId="0" xfId="0" applyNumberFormat="1" applyFont="1"/>
    <xf numFmtId="2" fontId="36" fillId="0" borderId="0" xfId="0" applyNumberFormat="1" applyFont="1" applyAlignment="1">
      <alignment horizontal="right"/>
    </xf>
    <xf numFmtId="3" fontId="36" fillId="0" borderId="0" xfId="0" applyNumberFormat="1" applyFont="1" applyAlignment="1">
      <alignment vertical="center"/>
    </xf>
    <xf numFmtId="0" fontId="36" fillId="0" borderId="0" xfId="0" applyFont="1" applyAlignment="1">
      <alignment vertical="center" wrapText="1"/>
    </xf>
    <xf numFmtId="2" fontId="36" fillId="0" borderId="0" xfId="0" applyNumberFormat="1" applyFont="1" applyAlignment="1">
      <alignment horizontal="left"/>
    </xf>
    <xf numFmtId="2" fontId="36" fillId="0" borderId="0" xfId="0" applyNumberFormat="1" applyFont="1" applyAlignment="1">
      <alignment horizontal="left" vertical="center"/>
    </xf>
    <xf numFmtId="0" fontId="77" fillId="0" borderId="0" xfId="0" applyFont="1" applyAlignment="1">
      <alignment horizontal="right" vertical="center"/>
    </xf>
    <xf numFmtId="2" fontId="77" fillId="0" borderId="0" xfId="0" applyNumberFormat="1" applyFont="1" applyAlignment="1">
      <alignment horizontal="right" vertical="center"/>
    </xf>
    <xf numFmtId="4" fontId="77" fillId="0" borderId="0" xfId="0" applyNumberFormat="1" applyFont="1" applyAlignment="1">
      <alignment vertical="center"/>
    </xf>
    <xf numFmtId="4" fontId="52" fillId="0" borderId="0" xfId="0" applyNumberFormat="1" applyFont="1" applyAlignment="1">
      <alignment vertical="center"/>
    </xf>
    <xf numFmtId="0" fontId="52" fillId="0" borderId="0" xfId="0" applyFont="1" applyAlignment="1">
      <alignment vertical="center"/>
    </xf>
    <xf numFmtId="0" fontId="121" fillId="0" borderId="0" xfId="0" applyFont="1" applyAlignment="1">
      <alignment vertical="center" wrapText="1"/>
    </xf>
    <xf numFmtId="0" fontId="122" fillId="0" borderId="0" xfId="0" applyFont="1" applyAlignment="1">
      <alignment horizontal="right" vertical="center" wrapText="1"/>
    </xf>
    <xf numFmtId="0" fontId="123" fillId="0" borderId="0" xfId="0" applyFont="1" applyAlignment="1">
      <alignment horizontal="right" vertical="center" wrapText="1"/>
    </xf>
    <xf numFmtId="2" fontId="52" fillId="0" borderId="0" xfId="0" applyNumberFormat="1" applyFont="1"/>
    <xf numFmtId="1" fontId="13" fillId="0" borderId="38" xfId="0" applyNumberFormat="1" applyFont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0" fillId="10" borderId="4" xfId="0" applyFill="1" applyBorder="1"/>
    <xf numFmtId="0" fontId="0" fillId="10" borderId="0" xfId="0" applyFill="1"/>
    <xf numFmtId="0" fontId="0" fillId="10" borderId="3" xfId="0" applyFill="1" applyBorder="1"/>
    <xf numFmtId="0" fontId="125" fillId="3" borderId="0" xfId="0" applyFont="1" applyFill="1" applyAlignment="1">
      <alignment vertical="center"/>
    </xf>
    <xf numFmtId="0" fontId="126" fillId="3" borderId="0" xfId="0" applyFont="1" applyFill="1" applyAlignment="1">
      <alignment vertical="center"/>
    </xf>
    <xf numFmtId="1" fontId="125" fillId="0" borderId="0" xfId="0" applyNumberFormat="1" applyFont="1" applyAlignment="1">
      <alignment horizontal="center" vertical="center"/>
    </xf>
    <xf numFmtId="184" fontId="125" fillId="0" borderId="0" xfId="0" applyNumberFormat="1" applyFont="1" applyAlignment="1">
      <alignment horizontal="center" vertical="center"/>
    </xf>
    <xf numFmtId="10" fontId="127" fillId="0" borderId="0" xfId="0" applyNumberFormat="1" applyFont="1" applyAlignment="1">
      <alignment horizontal="center" vertical="center"/>
    </xf>
    <xf numFmtId="1" fontId="125" fillId="3" borderId="0" xfId="0" applyNumberFormat="1" applyFont="1" applyFill="1" applyAlignment="1">
      <alignment horizontal="center" vertical="center"/>
    </xf>
    <xf numFmtId="0" fontId="128" fillId="0" borderId="0" xfId="0" applyFont="1" applyAlignment="1">
      <alignment vertical="center"/>
    </xf>
    <xf numFmtId="3" fontId="126" fillId="0" borderId="0" xfId="0" applyNumberFormat="1" applyFont="1" applyAlignment="1">
      <alignment horizontal="center" vertical="center"/>
    </xf>
    <xf numFmtId="1" fontId="128" fillId="0" borderId="83" xfId="0" applyNumberFormat="1" applyFont="1" applyBorder="1" applyAlignment="1">
      <alignment horizontal="center" vertical="center"/>
    </xf>
    <xf numFmtId="0" fontId="128" fillId="0" borderId="0" xfId="0" applyFont="1" applyAlignment="1">
      <alignment horizontal="right" vertical="center"/>
    </xf>
    <xf numFmtId="4" fontId="128" fillId="0" borderId="0" xfId="0" applyNumberFormat="1" applyFont="1" applyAlignment="1">
      <alignment vertical="center"/>
    </xf>
    <xf numFmtId="4" fontId="128" fillId="0" borderId="83" xfId="0" applyNumberFormat="1" applyFont="1" applyBorder="1" applyAlignment="1">
      <alignment horizontal="center" vertical="center"/>
    </xf>
    <xf numFmtId="2" fontId="128" fillId="0" borderId="83" xfId="0" applyNumberFormat="1" applyFont="1" applyBorder="1" applyAlignment="1">
      <alignment horizontal="right" vertical="center"/>
    </xf>
    <xf numFmtId="0" fontId="128" fillId="0" borderId="83" xfId="0" applyFont="1" applyBorder="1" applyAlignment="1">
      <alignment vertical="center"/>
    </xf>
    <xf numFmtId="9" fontId="128" fillId="0" borderId="83" xfId="0" applyNumberFormat="1" applyFont="1" applyBorder="1" applyAlignment="1">
      <alignment horizontal="center" vertical="center"/>
    </xf>
    <xf numFmtId="0" fontId="129" fillId="0" borderId="0" xfId="0" applyFont="1" applyAlignment="1">
      <alignment vertical="center"/>
    </xf>
    <xf numFmtId="2" fontId="130" fillId="0" borderId="83" xfId="0" applyNumberFormat="1" applyFont="1" applyBorder="1" applyAlignment="1">
      <alignment horizontal="center" vertical="center"/>
    </xf>
    <xf numFmtId="0" fontId="128" fillId="0" borderId="0" xfId="0" applyFont="1" applyAlignment="1">
      <alignment horizontal="left" vertical="center"/>
    </xf>
    <xf numFmtId="188" fontId="128" fillId="0" borderId="0" xfId="0" applyNumberFormat="1" applyFont="1"/>
    <xf numFmtId="0" fontId="7" fillId="3" borderId="40" xfId="0" applyFont="1" applyFill="1" applyBorder="1" applyAlignment="1">
      <alignment horizontal="center" vertical="center"/>
    </xf>
    <xf numFmtId="1" fontId="57" fillId="3" borderId="16" xfId="0" applyNumberFormat="1" applyFont="1" applyFill="1" applyBorder="1" applyAlignment="1">
      <alignment horizontal="right" vertical="center"/>
    </xf>
    <xf numFmtId="0" fontId="36" fillId="0" borderId="62" xfId="0" applyFont="1" applyBorder="1" applyAlignment="1">
      <alignment vertical="center"/>
    </xf>
    <xf numFmtId="2" fontId="0" fillId="0" borderId="0" xfId="0" applyNumberFormat="1" applyAlignment="1">
      <alignment vertical="center"/>
    </xf>
    <xf numFmtId="2" fontId="8" fillId="0" borderId="0" xfId="0" applyNumberFormat="1" applyFont="1" applyAlignment="1">
      <alignment horizontal="center" vertical="center"/>
    </xf>
    <xf numFmtId="2" fontId="2" fillId="0" borderId="0" xfId="0" applyNumberFormat="1" applyFont="1"/>
    <xf numFmtId="2" fontId="9" fillId="0" borderId="0" xfId="0" applyNumberFormat="1" applyFont="1"/>
    <xf numFmtId="2" fontId="20" fillId="0" borderId="0" xfId="0" applyNumberFormat="1" applyFont="1"/>
    <xf numFmtId="190" fontId="126" fillId="0" borderId="0" xfId="0" applyNumberFormat="1" applyFont="1" applyAlignment="1">
      <alignment vertical="center"/>
    </xf>
    <xf numFmtId="165" fontId="15" fillId="3" borderId="38" xfId="0" applyNumberFormat="1" applyFont="1" applyFill="1" applyBorder="1" applyAlignment="1">
      <alignment horizontal="right" vertical="center"/>
    </xf>
    <xf numFmtId="0" fontId="131" fillId="0" borderId="0" xfId="0" applyFont="1"/>
    <xf numFmtId="0" fontId="89" fillId="0" borderId="0" xfId="0" applyFont="1"/>
    <xf numFmtId="0" fontId="0" fillId="9" borderId="4" xfId="0" applyFill="1" applyBorder="1"/>
    <xf numFmtId="0" fontId="2" fillId="9" borderId="0" xfId="0" applyFont="1" applyFill="1"/>
    <xf numFmtId="0" fontId="0" fillId="10" borderId="0" xfId="0" applyFill="1" applyAlignment="1">
      <alignment vertical="center"/>
    </xf>
    <xf numFmtId="0" fontId="0" fillId="9" borderId="0" xfId="0" applyFill="1" applyAlignment="1">
      <alignment vertical="center"/>
    </xf>
    <xf numFmtId="165" fontId="70" fillId="0" borderId="0" xfId="0" applyNumberFormat="1" applyFont="1" applyAlignment="1">
      <alignment horizontal="center" vertical="center"/>
    </xf>
    <xf numFmtId="166" fontId="7" fillId="0" borderId="0" xfId="0" applyNumberFormat="1" applyFont="1" applyAlignment="1">
      <alignment vertical="center"/>
    </xf>
    <xf numFmtId="166" fontId="7" fillId="0" borderId="41" xfId="0" applyNumberFormat="1" applyFont="1" applyBorder="1" applyAlignment="1">
      <alignment vertical="center"/>
    </xf>
    <xf numFmtId="166" fontId="7" fillId="3" borderId="15" xfId="0" applyNumberFormat="1" applyFont="1" applyFill="1" applyBorder="1" applyAlignment="1">
      <alignment vertical="center"/>
    </xf>
    <xf numFmtId="0" fontId="0" fillId="9" borderId="0" xfId="0" applyFill="1" applyAlignment="1">
      <alignment horizontal="center" vertical="center" textRotation="90"/>
    </xf>
    <xf numFmtId="0" fontId="2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7" fillId="3" borderId="0" xfId="0" applyFont="1" applyFill="1" applyAlignment="1">
      <alignment horizontal="center" vertical="center" textRotation="90"/>
    </xf>
    <xf numFmtId="0" fontId="0" fillId="0" borderId="0" xfId="0" applyAlignment="1">
      <alignment horizontal="left" vertical="center"/>
    </xf>
    <xf numFmtId="0" fontId="0" fillId="6" borderId="20" xfId="0" applyFill="1" applyBorder="1" applyAlignment="1">
      <alignment horizontal="left" vertical="top" wrapText="1"/>
    </xf>
    <xf numFmtId="0" fontId="0" fillId="6" borderId="6" xfId="0" applyFill="1" applyBorder="1" applyAlignment="1">
      <alignment horizontal="left" vertical="top" wrapText="1"/>
    </xf>
    <xf numFmtId="0" fontId="0" fillId="6" borderId="21" xfId="0" applyFill="1" applyBorder="1" applyAlignment="1">
      <alignment horizontal="left" vertical="top" wrapText="1"/>
    </xf>
    <xf numFmtId="0" fontId="0" fillId="6" borderId="24" xfId="0" applyFill="1" applyBorder="1" applyAlignment="1">
      <alignment horizontal="left" vertical="top" wrapText="1"/>
    </xf>
    <xf numFmtId="0" fontId="0" fillId="6" borderId="5" xfId="0" applyFill="1" applyBorder="1" applyAlignment="1">
      <alignment horizontal="left" vertical="top" wrapText="1"/>
    </xf>
    <xf numFmtId="0" fontId="0" fillId="6" borderId="25" xfId="0" applyFill="1" applyBorder="1" applyAlignment="1">
      <alignment horizontal="left" vertical="top" wrapText="1"/>
    </xf>
    <xf numFmtId="165" fontId="9" fillId="0" borderId="0" xfId="0" applyNumberFormat="1" applyFont="1" applyAlignment="1">
      <alignment horizontal="right"/>
    </xf>
    <xf numFmtId="165" fontId="20" fillId="0" borderId="0" xfId="0" applyNumberFormat="1" applyFont="1" applyAlignment="1">
      <alignment horizontal="right"/>
    </xf>
    <xf numFmtId="0" fontId="8" fillId="9" borderId="0" xfId="0" applyFont="1" applyFill="1" applyAlignment="1">
      <alignment horizontal="center" vertical="center"/>
    </xf>
    <xf numFmtId="0" fontId="18" fillId="4" borderId="57" xfId="0" applyFont="1" applyFill="1" applyBorder="1"/>
    <xf numFmtId="0" fontId="18" fillId="4" borderId="76" xfId="0" applyFont="1" applyFill="1" applyBorder="1"/>
    <xf numFmtId="0" fontId="18" fillId="4" borderId="74" xfId="0" applyFont="1" applyFill="1" applyBorder="1"/>
    <xf numFmtId="0" fontId="18" fillId="4" borderId="75" xfId="0" applyFont="1" applyFill="1" applyBorder="1"/>
    <xf numFmtId="0" fontId="35" fillId="4" borderId="9" xfId="0" applyFont="1" applyFill="1" applyBorder="1" applyAlignment="1">
      <alignment vertical="center"/>
    </xf>
    <xf numFmtId="0" fontId="35" fillId="4" borderId="10" xfId="0" applyFont="1" applyFill="1" applyBorder="1" applyAlignment="1">
      <alignment vertical="center"/>
    </xf>
    <xf numFmtId="0" fontId="35" fillId="4" borderId="11" xfId="0" applyFont="1" applyFill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165" fontId="21" fillId="3" borderId="8" xfId="0" applyNumberFormat="1" applyFont="1" applyFill="1" applyBorder="1" applyAlignment="1">
      <alignment horizontal="right"/>
    </xf>
    <xf numFmtId="0" fontId="9" fillId="0" borderId="0" xfId="0" applyFont="1" applyAlignment="1">
      <alignment horizontal="right"/>
    </xf>
    <xf numFmtId="0" fontId="7" fillId="4" borderId="85" xfId="0" applyFont="1" applyFill="1" applyBorder="1" applyAlignment="1">
      <alignment horizontal="left" vertical="center"/>
    </xf>
    <xf numFmtId="0" fontId="7" fillId="4" borderId="59" xfId="0" applyFont="1" applyFill="1" applyBorder="1" applyAlignment="1">
      <alignment horizontal="left" vertical="center"/>
    </xf>
    <xf numFmtId="0" fontId="7" fillId="4" borderId="58" xfId="0" applyFont="1" applyFill="1" applyBorder="1" applyAlignment="1">
      <alignment horizontal="left" vertical="center"/>
    </xf>
    <xf numFmtId="0" fontId="7" fillId="4" borderId="86" xfId="0" applyFont="1" applyFill="1" applyBorder="1" applyAlignment="1">
      <alignment horizontal="left" vertical="center"/>
    </xf>
    <xf numFmtId="0" fontId="7" fillId="4" borderId="9" xfId="0" applyFont="1" applyFill="1" applyBorder="1" applyAlignment="1">
      <alignment horizontal="right" vertical="center"/>
    </xf>
    <xf numFmtId="0" fontId="7" fillId="4" borderId="10" xfId="0" applyFont="1" applyFill="1" applyBorder="1" applyAlignment="1">
      <alignment horizontal="right" vertical="center"/>
    </xf>
    <xf numFmtId="0" fontId="7" fillId="4" borderId="11" xfId="0" applyFont="1" applyFill="1" applyBorder="1" applyAlignment="1">
      <alignment horizontal="right" vertical="center"/>
    </xf>
    <xf numFmtId="0" fontId="16" fillId="3" borderId="9" xfId="0" applyFont="1" applyFill="1" applyBorder="1" applyAlignment="1">
      <alignment horizontal="left" vertical="top"/>
    </xf>
    <xf numFmtId="0" fontId="16" fillId="3" borderId="10" xfId="0" applyFont="1" applyFill="1" applyBorder="1" applyAlignment="1">
      <alignment horizontal="left" vertical="top"/>
    </xf>
    <xf numFmtId="0" fontId="16" fillId="3" borderId="11" xfId="0" applyFont="1" applyFill="1" applyBorder="1" applyAlignment="1">
      <alignment horizontal="left" vertical="top"/>
    </xf>
    <xf numFmtId="0" fontId="35" fillId="4" borderId="9" xfId="0" applyFont="1" applyFill="1" applyBorder="1" applyAlignment="1">
      <alignment horizontal="left" vertical="center"/>
    </xf>
    <xf numFmtId="0" fontId="35" fillId="4" borderId="10" xfId="0" applyFont="1" applyFill="1" applyBorder="1" applyAlignment="1">
      <alignment horizontal="left" vertical="center"/>
    </xf>
    <xf numFmtId="0" fontId="35" fillId="4" borderId="11" xfId="0" applyFont="1" applyFill="1" applyBorder="1" applyAlignment="1">
      <alignment horizontal="left" vertical="center"/>
    </xf>
    <xf numFmtId="0" fontId="7" fillId="4" borderId="8" xfId="0" applyFont="1" applyFill="1" applyBorder="1" applyAlignment="1">
      <alignment horizontal="left" vertical="center"/>
    </xf>
    <xf numFmtId="0" fontId="7" fillId="4" borderId="9" xfId="0" applyFont="1" applyFill="1" applyBorder="1" applyAlignment="1">
      <alignment horizontal="left" vertical="center"/>
    </xf>
    <xf numFmtId="0" fontId="7" fillId="4" borderId="11" xfId="0" applyFont="1" applyFill="1" applyBorder="1" applyAlignment="1">
      <alignment horizontal="left" vertical="center"/>
    </xf>
    <xf numFmtId="49" fontId="13" fillId="4" borderId="9" xfId="0" applyNumberFormat="1" applyFont="1" applyFill="1" applyBorder="1" applyAlignment="1">
      <alignment horizontal="right" vertical="center"/>
    </xf>
    <xf numFmtId="49" fontId="13" fillId="4" borderId="10" xfId="0" applyNumberFormat="1" applyFont="1" applyFill="1" applyBorder="1" applyAlignment="1">
      <alignment horizontal="right" vertical="center"/>
    </xf>
    <xf numFmtId="49" fontId="13" fillId="4" borderId="11" xfId="0" applyNumberFormat="1" applyFont="1" applyFill="1" applyBorder="1" applyAlignment="1">
      <alignment horizontal="right" vertical="center"/>
    </xf>
    <xf numFmtId="10" fontId="3" fillId="4" borderId="9" xfId="0" applyNumberFormat="1" applyFont="1" applyFill="1" applyBorder="1" applyAlignment="1">
      <alignment horizontal="left" vertical="center"/>
    </xf>
    <xf numFmtId="10" fontId="3" fillId="4" borderId="10" xfId="0" applyNumberFormat="1" applyFont="1" applyFill="1" applyBorder="1" applyAlignment="1">
      <alignment horizontal="left" vertical="center"/>
    </xf>
    <xf numFmtId="10" fontId="3" fillId="4" borderId="11" xfId="0" applyNumberFormat="1" applyFont="1" applyFill="1" applyBorder="1" applyAlignment="1">
      <alignment horizontal="left" vertical="center"/>
    </xf>
    <xf numFmtId="0" fontId="7" fillId="4" borderId="43" xfId="0" applyFont="1" applyFill="1" applyBorder="1" applyAlignment="1">
      <alignment horizontal="center" vertical="center"/>
    </xf>
    <xf numFmtId="0" fontId="7" fillId="4" borderId="42" xfId="0" applyFont="1" applyFill="1" applyBorder="1" applyAlignment="1">
      <alignment horizontal="center" vertical="center"/>
    </xf>
    <xf numFmtId="0" fontId="44" fillId="6" borderId="20" xfId="0" applyFont="1" applyFill="1" applyBorder="1" applyAlignment="1">
      <alignment horizontal="left" vertical="top" wrapText="1"/>
    </xf>
    <xf numFmtId="0" fontId="44" fillId="6" borderId="6" xfId="0" applyFont="1" applyFill="1" applyBorder="1" applyAlignment="1">
      <alignment horizontal="left" vertical="top" wrapText="1"/>
    </xf>
    <xf numFmtId="0" fontId="44" fillId="6" borderId="21" xfId="0" applyFont="1" applyFill="1" applyBorder="1" applyAlignment="1">
      <alignment horizontal="left" vertical="top" wrapText="1"/>
    </xf>
    <xf numFmtId="0" fontId="44" fillId="6" borderId="22" xfId="0" applyFont="1" applyFill="1" applyBorder="1" applyAlignment="1">
      <alignment horizontal="left" vertical="top" wrapText="1"/>
    </xf>
    <xf numFmtId="0" fontId="44" fillId="6" borderId="0" xfId="0" applyFont="1" applyFill="1" applyAlignment="1">
      <alignment horizontal="left" vertical="top" wrapText="1"/>
    </xf>
    <xf numFmtId="0" fontId="44" fillId="6" borderId="23" xfId="0" applyFont="1" applyFill="1" applyBorder="1" applyAlignment="1">
      <alignment horizontal="left" vertical="top" wrapText="1"/>
    </xf>
    <xf numFmtId="0" fontId="44" fillId="6" borderId="24" xfId="0" applyFont="1" applyFill="1" applyBorder="1" applyAlignment="1">
      <alignment horizontal="left" vertical="top" wrapText="1"/>
    </xf>
    <xf numFmtId="0" fontId="44" fillId="6" borderId="5" xfId="0" applyFont="1" applyFill="1" applyBorder="1" applyAlignment="1">
      <alignment horizontal="left" vertical="top" wrapText="1"/>
    </xf>
    <xf numFmtId="0" fontId="44" fillId="6" borderId="25" xfId="0" applyFont="1" applyFill="1" applyBorder="1" applyAlignment="1">
      <alignment horizontal="left" vertical="top" wrapText="1"/>
    </xf>
    <xf numFmtId="0" fontId="7" fillId="0" borderId="15" xfId="0" applyFont="1" applyBorder="1" applyAlignment="1">
      <alignment horizontal="left" vertical="center"/>
    </xf>
    <xf numFmtId="0" fontId="7" fillId="0" borderId="16" xfId="0" applyFont="1" applyBorder="1" applyAlignment="1">
      <alignment horizontal="left" vertical="center"/>
    </xf>
    <xf numFmtId="0" fontId="9" fillId="0" borderId="15" xfId="0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16" xfId="0" applyFont="1" applyBorder="1" applyAlignment="1">
      <alignment horizontal="left" vertical="center"/>
    </xf>
    <xf numFmtId="165" fontId="60" fillId="0" borderId="6" xfId="0" applyNumberFormat="1" applyFont="1" applyBorder="1" applyAlignment="1">
      <alignment horizontal="right" vertical="center"/>
    </xf>
    <xf numFmtId="165" fontId="20" fillId="0" borderId="0" xfId="0" applyNumberFormat="1" applyFont="1"/>
    <xf numFmtId="0" fontId="0" fillId="0" borderId="0" xfId="0"/>
    <xf numFmtId="0" fontId="7" fillId="4" borderId="10" xfId="0" applyFont="1" applyFill="1" applyBorder="1" applyAlignment="1">
      <alignment horizontal="left" vertical="center"/>
    </xf>
    <xf numFmtId="0" fontId="68" fillId="4" borderId="9" xfId="0" applyFont="1" applyFill="1" applyBorder="1" applyAlignment="1">
      <alignment horizontal="left" vertical="center"/>
    </xf>
    <xf numFmtId="0" fontId="68" fillId="4" borderId="10" xfId="0" applyFont="1" applyFill="1" applyBorder="1" applyAlignment="1">
      <alignment horizontal="left" vertical="center"/>
    </xf>
    <xf numFmtId="0" fontId="68" fillId="4" borderId="11" xfId="0" applyFont="1" applyFill="1" applyBorder="1" applyAlignment="1">
      <alignment horizontal="left" vertical="center"/>
    </xf>
    <xf numFmtId="0" fontId="13" fillId="4" borderId="9" xfId="0" applyFont="1" applyFill="1" applyBorder="1" applyAlignment="1">
      <alignment horizontal="left" vertical="center"/>
    </xf>
    <xf numFmtId="0" fontId="13" fillId="4" borderId="10" xfId="0" applyFont="1" applyFill="1" applyBorder="1" applyAlignment="1">
      <alignment horizontal="left" vertical="center"/>
    </xf>
    <xf numFmtId="0" fontId="13" fillId="4" borderId="11" xfId="0" applyFont="1" applyFill="1" applyBorder="1" applyAlignment="1">
      <alignment horizontal="left" vertical="center"/>
    </xf>
    <xf numFmtId="0" fontId="0" fillId="4" borderId="43" xfId="0" applyFill="1" applyBorder="1" applyAlignment="1">
      <alignment horizontal="left" vertical="center"/>
    </xf>
    <xf numFmtId="0" fontId="0" fillId="4" borderId="42" xfId="0" applyFill="1" applyBorder="1" applyAlignment="1">
      <alignment horizontal="left" vertical="center"/>
    </xf>
    <xf numFmtId="0" fontId="7" fillId="3" borderId="13" xfId="0" applyFont="1" applyFill="1" applyBorder="1" applyAlignment="1">
      <alignment horizontal="center"/>
    </xf>
    <xf numFmtId="0" fontId="7" fillId="3" borderId="14" xfId="0" applyFont="1" applyFill="1" applyBorder="1" applyAlignment="1">
      <alignment horizontal="center"/>
    </xf>
    <xf numFmtId="165" fontId="21" fillId="3" borderId="9" xfId="0" applyNumberFormat="1" applyFont="1" applyFill="1" applyBorder="1" applyAlignment="1">
      <alignment horizontal="right"/>
    </xf>
    <xf numFmtId="165" fontId="21" fillId="3" borderId="11" xfId="0" applyNumberFormat="1" applyFont="1" applyFill="1" applyBorder="1" applyAlignment="1">
      <alignment horizontal="right"/>
    </xf>
    <xf numFmtId="0" fontId="7" fillId="0" borderId="0" xfId="0" applyFont="1" applyAlignment="1">
      <alignment horizontal="left" vertical="center"/>
    </xf>
    <xf numFmtId="0" fontId="35" fillId="0" borderId="9" xfId="0" applyFont="1" applyBorder="1" applyAlignment="1">
      <alignment vertical="center"/>
    </xf>
    <xf numFmtId="0" fontId="35" fillId="0" borderId="10" xfId="0" applyFont="1" applyBorder="1" applyAlignment="1">
      <alignment vertical="center"/>
    </xf>
    <xf numFmtId="0" fontId="35" fillId="0" borderId="11" xfId="0" applyFont="1" applyBorder="1" applyAlignment="1">
      <alignment vertical="center"/>
    </xf>
    <xf numFmtId="0" fontId="9" fillId="3" borderId="9" xfId="0" applyFont="1" applyFill="1" applyBorder="1" applyAlignment="1">
      <alignment vertical="center"/>
    </xf>
    <xf numFmtId="0" fontId="9" fillId="3" borderId="10" xfId="0" applyFont="1" applyFill="1" applyBorder="1" applyAlignment="1">
      <alignment vertical="center"/>
    </xf>
    <xf numFmtId="0" fontId="9" fillId="3" borderId="11" xfId="0" applyFont="1" applyFill="1" applyBorder="1" applyAlignment="1">
      <alignment vertical="center"/>
    </xf>
    <xf numFmtId="0" fontId="3" fillId="3" borderId="13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/>
    </xf>
    <xf numFmtId="0" fontId="58" fillId="3" borderId="16" xfId="0" applyFont="1" applyFill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/>
    </xf>
    <xf numFmtId="0" fontId="7" fillId="0" borderId="19" xfId="0" applyFont="1" applyBorder="1" applyAlignment="1">
      <alignment horizontal="left" vertical="center"/>
    </xf>
    <xf numFmtId="0" fontId="7" fillId="0" borderId="13" xfId="0" applyFont="1" applyBorder="1" applyAlignment="1">
      <alignment horizontal="left" vertical="center"/>
    </xf>
    <xf numFmtId="0" fontId="7" fillId="0" borderId="14" xfId="0" applyFont="1" applyBorder="1" applyAlignment="1">
      <alignment horizontal="left" vertical="center"/>
    </xf>
    <xf numFmtId="4" fontId="120" fillId="0" borderId="0" xfId="0" applyNumberFormat="1" applyFont="1" applyAlignment="1">
      <alignment horizontal="center" vertical="center" wrapText="1"/>
    </xf>
    <xf numFmtId="0" fontId="126" fillId="0" borderId="0" xfId="0" applyFont="1" applyAlignment="1">
      <alignment horizontal="center" vertical="center" wrapText="1"/>
    </xf>
    <xf numFmtId="0" fontId="26" fillId="0" borderId="0" xfId="0" applyFont="1" applyAlignment="1">
      <alignment horizontal="center" vertical="center"/>
    </xf>
    <xf numFmtId="0" fontId="18" fillId="6" borderId="20" xfId="0" applyFont="1" applyFill="1" applyBorder="1" applyAlignment="1">
      <alignment horizontal="left" vertical="top" wrapText="1"/>
    </xf>
    <xf numFmtId="0" fontId="18" fillId="6" borderId="6" xfId="0" applyFont="1" applyFill="1" applyBorder="1" applyAlignment="1">
      <alignment horizontal="left" vertical="top" wrapText="1"/>
    </xf>
    <xf numFmtId="0" fontId="18" fillId="6" borderId="21" xfId="0" applyFont="1" applyFill="1" applyBorder="1" applyAlignment="1">
      <alignment horizontal="left" vertical="top" wrapText="1"/>
    </xf>
    <xf numFmtId="0" fontId="18" fillId="6" borderId="24" xfId="0" applyFont="1" applyFill="1" applyBorder="1" applyAlignment="1">
      <alignment horizontal="left" vertical="top" wrapText="1"/>
    </xf>
    <xf numFmtId="0" fontId="18" fillId="6" borderId="5" xfId="0" applyFont="1" applyFill="1" applyBorder="1" applyAlignment="1">
      <alignment horizontal="left" vertical="top" wrapText="1"/>
    </xf>
    <xf numFmtId="0" fontId="18" fillId="6" borderId="25" xfId="0" applyFont="1" applyFill="1" applyBorder="1" applyAlignment="1">
      <alignment horizontal="left" vertical="top" wrapText="1"/>
    </xf>
    <xf numFmtId="0" fontId="3" fillId="3" borderId="8" xfId="0" applyFont="1" applyFill="1" applyBorder="1" applyAlignment="1">
      <alignment horizontal="right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3" fillId="4" borderId="9" xfId="0" applyFont="1" applyFill="1" applyBorder="1" applyAlignment="1">
      <alignment horizontal="right" vertical="center"/>
    </xf>
    <xf numFmtId="0" fontId="13" fillId="4" borderId="10" xfId="0" applyFont="1" applyFill="1" applyBorder="1" applyAlignment="1">
      <alignment horizontal="right" vertical="center"/>
    </xf>
    <xf numFmtId="0" fontId="13" fillId="4" borderId="11" xfId="0" applyFont="1" applyFill="1" applyBorder="1" applyAlignment="1">
      <alignment horizontal="right" vertical="center"/>
    </xf>
    <xf numFmtId="0" fontId="3" fillId="3" borderId="0" xfId="0" applyFont="1" applyFill="1" applyAlignment="1">
      <alignment horizontal="center" vertical="center" wrapText="1"/>
    </xf>
    <xf numFmtId="0" fontId="35" fillId="3" borderId="9" xfId="0" applyFont="1" applyFill="1" applyBorder="1" applyAlignment="1">
      <alignment vertical="center"/>
    </xf>
    <xf numFmtId="0" fontId="35" fillId="3" borderId="10" xfId="0" applyFont="1" applyFill="1" applyBorder="1" applyAlignment="1">
      <alignment vertical="center"/>
    </xf>
    <xf numFmtId="0" fontId="35" fillId="3" borderId="11" xfId="0" applyFont="1" applyFill="1" applyBorder="1" applyAlignment="1">
      <alignment vertical="center"/>
    </xf>
    <xf numFmtId="0" fontId="3" fillId="3" borderId="38" xfId="0" applyFont="1" applyFill="1" applyBorder="1" applyAlignment="1">
      <alignment horizontal="center" vertical="center" wrapText="1"/>
    </xf>
    <xf numFmtId="0" fontId="44" fillId="0" borderId="0" xfId="0" applyFont="1" applyAlignment="1">
      <alignment horizontal="center" vertical="center" wrapText="1"/>
    </xf>
    <xf numFmtId="0" fontId="3" fillId="3" borderId="15" xfId="0" applyFont="1" applyFill="1" applyBorder="1" applyAlignment="1">
      <alignment horizontal="center" vertical="center" wrapText="1"/>
    </xf>
    <xf numFmtId="172" fontId="44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left"/>
    </xf>
    <xf numFmtId="0" fontId="16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1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7" fillId="3" borderId="0" xfId="0" applyFont="1" applyFill="1" applyAlignment="1" applyProtection="1">
      <alignment horizontal="center" vertical="center" textRotation="90"/>
      <protection locked="0"/>
    </xf>
    <xf numFmtId="0" fontId="35" fillId="4" borderId="9" xfId="0" applyFont="1" applyFill="1" applyBorder="1" applyAlignment="1" applyProtection="1">
      <alignment horizontal="left" vertical="center"/>
      <protection locked="0"/>
    </xf>
    <xf numFmtId="0" fontId="35" fillId="4" borderId="10" xfId="0" applyFont="1" applyFill="1" applyBorder="1" applyAlignment="1" applyProtection="1">
      <alignment horizontal="left" vertical="center"/>
      <protection locked="0"/>
    </xf>
    <xf numFmtId="0" fontId="35" fillId="4" borderId="11" xfId="0" applyFont="1" applyFill="1" applyBorder="1" applyAlignment="1" applyProtection="1">
      <alignment horizontal="left" vertical="center"/>
      <protection locked="0"/>
    </xf>
    <xf numFmtId="0" fontId="7" fillId="4" borderId="9" xfId="0" applyFont="1" applyFill="1" applyBorder="1" applyAlignment="1" applyProtection="1">
      <alignment horizontal="left" vertical="center"/>
      <protection locked="0"/>
    </xf>
    <xf numFmtId="0" fontId="7" fillId="4" borderId="11" xfId="0" applyFont="1" applyFill="1" applyBorder="1" applyAlignment="1" applyProtection="1">
      <alignment horizontal="left" vertical="center"/>
      <protection locked="0"/>
    </xf>
    <xf numFmtId="0" fontId="7" fillId="4" borderId="8" xfId="0" applyFont="1" applyFill="1" applyBorder="1" applyAlignment="1" applyProtection="1">
      <alignment horizontal="left" vertical="center"/>
      <protection locked="0"/>
    </xf>
    <xf numFmtId="165" fontId="21" fillId="3" borderId="8" xfId="0" applyNumberFormat="1" applyFont="1" applyFill="1" applyBorder="1" applyAlignment="1" applyProtection="1">
      <alignment horizontal="right"/>
      <protection locked="0"/>
    </xf>
    <xf numFmtId="169" fontId="16" fillId="4" borderId="9" xfId="0" applyNumberFormat="1" applyFont="1" applyFill="1" applyBorder="1" applyAlignment="1" applyProtection="1">
      <alignment horizontal="right" vertical="center"/>
      <protection locked="0"/>
    </xf>
    <xf numFmtId="169" fontId="16" fillId="4" borderId="10" xfId="0" applyNumberFormat="1" applyFont="1" applyFill="1" applyBorder="1" applyAlignment="1" applyProtection="1">
      <alignment horizontal="right" vertical="center"/>
      <protection locked="0"/>
    </xf>
    <xf numFmtId="169" fontId="16" fillId="4" borderId="11" xfId="0" applyNumberFormat="1" applyFont="1" applyFill="1" applyBorder="1" applyAlignment="1" applyProtection="1">
      <alignment horizontal="right" vertical="center"/>
      <protection locked="0"/>
    </xf>
    <xf numFmtId="0" fontId="16" fillId="4" borderId="9" xfId="0" applyFont="1" applyFill="1" applyBorder="1" applyAlignment="1" applyProtection="1">
      <alignment horizontal="right" vertical="center"/>
      <protection locked="0"/>
    </xf>
    <xf numFmtId="0" fontId="16" fillId="4" borderId="10" xfId="0" applyFont="1" applyFill="1" applyBorder="1" applyAlignment="1" applyProtection="1">
      <alignment horizontal="right" vertical="center"/>
      <protection locked="0"/>
    </xf>
    <xf numFmtId="0" fontId="16" fillId="4" borderId="11" xfId="0" applyFont="1" applyFill="1" applyBorder="1" applyAlignment="1" applyProtection="1">
      <alignment horizontal="right" vertical="center"/>
      <protection locked="0"/>
    </xf>
    <xf numFmtId="0" fontId="3" fillId="4" borderId="9" xfId="0" applyFont="1" applyFill="1" applyBorder="1" applyAlignment="1" applyProtection="1">
      <alignment horizontal="left" vertical="center"/>
      <protection locked="0"/>
    </xf>
    <xf numFmtId="0" fontId="3" fillId="4" borderId="10" xfId="0" applyFont="1" applyFill="1" applyBorder="1" applyAlignment="1" applyProtection="1">
      <alignment horizontal="left" vertical="center"/>
      <protection locked="0"/>
    </xf>
    <xf numFmtId="0" fontId="3" fillId="4" borderId="11" xfId="0" applyFont="1" applyFill="1" applyBorder="1" applyAlignment="1" applyProtection="1">
      <alignment horizontal="left" vertical="center"/>
      <protection locked="0"/>
    </xf>
    <xf numFmtId="166" fontId="16" fillId="4" borderId="9" xfId="0" applyNumberFormat="1" applyFont="1" applyFill="1" applyBorder="1" applyAlignment="1" applyProtection="1">
      <alignment horizontal="right" vertical="center"/>
      <protection locked="0"/>
    </xf>
    <xf numFmtId="166" fontId="16" fillId="4" borderId="11" xfId="0" applyNumberFormat="1" applyFont="1" applyFill="1" applyBorder="1" applyAlignment="1" applyProtection="1">
      <alignment horizontal="right" vertical="center"/>
      <protection locked="0"/>
    </xf>
    <xf numFmtId="0" fontId="16" fillId="4" borderId="9" xfId="0" applyFont="1" applyFill="1" applyBorder="1" applyAlignment="1" applyProtection="1">
      <alignment horizontal="left" vertical="center"/>
      <protection locked="0"/>
    </xf>
    <xf numFmtId="0" fontId="16" fillId="4" borderId="10" xfId="0" applyFont="1" applyFill="1" applyBorder="1" applyAlignment="1" applyProtection="1">
      <alignment horizontal="left" vertical="center"/>
      <protection locked="0"/>
    </xf>
    <xf numFmtId="0" fontId="16" fillId="4" borderId="11" xfId="0" applyFont="1" applyFill="1" applyBorder="1" applyAlignment="1" applyProtection="1">
      <alignment horizontal="left" vertical="center"/>
      <protection locked="0"/>
    </xf>
    <xf numFmtId="0" fontId="16" fillId="3" borderId="9" xfId="0" applyFont="1" applyFill="1" applyBorder="1" applyAlignment="1" applyProtection="1">
      <alignment horizontal="left"/>
      <protection locked="0"/>
    </xf>
    <xf numFmtId="0" fontId="16" fillId="3" borderId="11" xfId="0" applyFont="1" applyFill="1" applyBorder="1" applyAlignment="1" applyProtection="1">
      <alignment horizontal="left"/>
      <protection locked="0"/>
    </xf>
    <xf numFmtId="165" fontId="32" fillId="4" borderId="9" xfId="0" applyNumberFormat="1" applyFont="1" applyFill="1" applyBorder="1" applyAlignment="1" applyProtection="1">
      <alignment horizontal="right" vertical="center"/>
      <protection locked="0"/>
    </xf>
    <xf numFmtId="165" fontId="32" fillId="4" borderId="11" xfId="0" applyNumberFormat="1" applyFont="1" applyFill="1" applyBorder="1" applyAlignment="1" applyProtection="1">
      <alignment horizontal="right" vertical="center"/>
      <protection locked="0"/>
    </xf>
    <xf numFmtId="166" fontId="3" fillId="4" borderId="9" xfId="0" applyNumberFormat="1" applyFont="1" applyFill="1" applyBorder="1" applyAlignment="1" applyProtection="1">
      <alignment horizontal="right" vertical="center"/>
      <protection locked="0"/>
    </xf>
    <xf numFmtId="166" fontId="3" fillId="4" borderId="11" xfId="0" applyNumberFormat="1" applyFont="1" applyFill="1" applyBorder="1" applyAlignment="1" applyProtection="1">
      <alignment horizontal="right" vertical="center"/>
      <protection locked="0"/>
    </xf>
    <xf numFmtId="0" fontId="46" fillId="0" borderId="0" xfId="0" applyFont="1" applyAlignment="1">
      <alignment horizontal="left" vertical="center" wrapText="1"/>
    </xf>
    <xf numFmtId="0" fontId="44" fillId="0" borderId="5" xfId="0" applyFont="1" applyBorder="1" applyAlignment="1">
      <alignment horizontal="left" vertical="center"/>
    </xf>
    <xf numFmtId="0" fontId="44" fillId="0" borderId="0" xfId="0" applyFont="1" applyAlignment="1">
      <alignment horizontal="left" vertical="center"/>
    </xf>
    <xf numFmtId="165" fontId="60" fillId="0" borderId="0" xfId="0" applyNumberFormat="1" applyFont="1" applyAlignment="1">
      <alignment horizontal="right" vertical="center"/>
    </xf>
    <xf numFmtId="0" fontId="3" fillId="4" borderId="56" xfId="0" applyFont="1" applyFill="1" applyBorder="1" applyAlignment="1">
      <alignment horizontal="left" vertical="center"/>
    </xf>
    <xf numFmtId="0" fontId="0" fillId="5" borderId="0" xfId="0" applyFill="1" applyAlignment="1">
      <alignment horizontal="center" vertical="center" textRotation="90"/>
    </xf>
    <xf numFmtId="0" fontId="8" fillId="5" borderId="0" xfId="0" applyFont="1" applyFill="1" applyAlignment="1">
      <alignment horizontal="center" vertical="center"/>
    </xf>
    <xf numFmtId="0" fontId="3" fillId="4" borderId="57" xfId="0" applyFont="1" applyFill="1" applyBorder="1" applyAlignment="1">
      <alignment horizontal="left" vertical="center"/>
    </xf>
    <xf numFmtId="0" fontId="3" fillId="4" borderId="59" xfId="0" applyFont="1" applyFill="1" applyBorder="1" applyAlignment="1">
      <alignment horizontal="left" vertical="center"/>
    </xf>
    <xf numFmtId="0" fontId="3" fillId="4" borderId="58" xfId="0" applyFont="1" applyFill="1" applyBorder="1" applyAlignment="1">
      <alignment horizontal="left" vertical="center"/>
    </xf>
    <xf numFmtId="0" fontId="110" fillId="4" borderId="12" xfId="0" applyFont="1" applyFill="1" applyBorder="1" applyAlignment="1">
      <alignment horizontal="left" vertical="top" wrapText="1"/>
    </xf>
    <xf numFmtId="0" fontId="110" fillId="4" borderId="13" xfId="0" applyFont="1" applyFill="1" applyBorder="1" applyAlignment="1">
      <alignment horizontal="left" vertical="top" wrapText="1"/>
    </xf>
    <xf numFmtId="0" fontId="110" fillId="4" borderId="14" xfId="0" applyFont="1" applyFill="1" applyBorder="1" applyAlignment="1">
      <alignment horizontal="left" vertical="top" wrapText="1"/>
    </xf>
    <xf numFmtId="0" fontId="110" fillId="4" borderId="15" xfId="0" applyFont="1" applyFill="1" applyBorder="1" applyAlignment="1">
      <alignment horizontal="left" vertical="top" wrapText="1"/>
    </xf>
    <xf numFmtId="0" fontId="110" fillId="4" borderId="0" xfId="0" applyFont="1" applyFill="1" applyAlignment="1">
      <alignment horizontal="left" vertical="top" wrapText="1"/>
    </xf>
    <xf numFmtId="0" fontId="110" fillId="4" borderId="16" xfId="0" applyFont="1" applyFill="1" applyBorder="1" applyAlignment="1">
      <alignment horizontal="left" vertical="top" wrapText="1"/>
    </xf>
    <xf numFmtId="10" fontId="3" fillId="0" borderId="0" xfId="0" applyNumberFormat="1" applyFont="1" applyAlignment="1">
      <alignment horizontal="left" vertical="top" wrapText="1"/>
    </xf>
    <xf numFmtId="0" fontId="7" fillId="3" borderId="16" xfId="0" applyFont="1" applyFill="1" applyBorder="1" applyAlignment="1">
      <alignment horizontal="center" vertical="center" textRotation="90"/>
    </xf>
    <xf numFmtId="10" fontId="7" fillId="4" borderId="9" xfId="0" applyNumberFormat="1" applyFont="1" applyFill="1" applyBorder="1" applyAlignment="1">
      <alignment horizontal="left" vertical="center"/>
    </xf>
    <xf numFmtId="10" fontId="7" fillId="4" borderId="10" xfId="0" applyNumberFormat="1" applyFont="1" applyFill="1" applyBorder="1" applyAlignment="1">
      <alignment horizontal="left" vertical="center"/>
    </xf>
    <xf numFmtId="10" fontId="7" fillId="4" borderId="11" xfId="0" applyNumberFormat="1" applyFont="1" applyFill="1" applyBorder="1" applyAlignment="1">
      <alignment horizontal="left" vertical="center"/>
    </xf>
    <xf numFmtId="165" fontId="0" fillId="4" borderId="9" xfId="0" applyNumberFormat="1" applyFill="1" applyBorder="1" applyAlignment="1">
      <alignment horizontal="left" vertical="center"/>
    </xf>
    <xf numFmtId="165" fontId="0" fillId="4" borderId="10" xfId="0" applyNumberFormat="1" applyFill="1" applyBorder="1" applyAlignment="1">
      <alignment horizontal="left" vertical="center"/>
    </xf>
    <xf numFmtId="165" fontId="0" fillId="4" borderId="11" xfId="0" applyNumberFormat="1" applyFill="1" applyBorder="1" applyAlignment="1">
      <alignment horizontal="left" vertical="center"/>
    </xf>
    <xf numFmtId="0" fontId="0" fillId="3" borderId="0" xfId="0" applyFill="1" applyAlignment="1">
      <alignment horizontal="center" vertical="center" textRotation="90"/>
    </xf>
    <xf numFmtId="0" fontId="0" fillId="3" borderId="3" xfId="0" applyFill="1" applyBorder="1" applyAlignment="1">
      <alignment horizontal="center" vertical="center" textRotation="90"/>
    </xf>
    <xf numFmtId="0" fontId="0" fillId="3" borderId="4" xfId="0" applyFill="1" applyBorder="1" applyAlignment="1">
      <alignment horizontal="center" vertical="center" textRotation="90"/>
    </xf>
    <xf numFmtId="0" fontId="4" fillId="2" borderId="46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47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textRotation="90"/>
    </xf>
    <xf numFmtId="0" fontId="0" fillId="0" borderId="20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50" fillId="2" borderId="46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/>
    </xf>
    <xf numFmtId="0" fontId="0" fillId="0" borderId="21" xfId="0" applyBorder="1" applyAlignment="1">
      <alignment horizontal="center"/>
    </xf>
    <xf numFmtId="49" fontId="15" fillId="3" borderId="35" xfId="0" applyNumberFormat="1" applyFont="1" applyFill="1" applyBorder="1" applyAlignment="1">
      <alignment horizontal="center" vertical="center" textRotation="90"/>
    </xf>
    <xf numFmtId="49" fontId="15" fillId="3" borderId="36" xfId="0" applyNumberFormat="1" applyFont="1" applyFill="1" applyBorder="1" applyAlignment="1">
      <alignment horizontal="center" vertical="center" textRotation="90"/>
    </xf>
    <xf numFmtId="49" fontId="15" fillId="3" borderId="37" xfId="0" applyNumberFormat="1" applyFont="1" applyFill="1" applyBorder="1" applyAlignment="1">
      <alignment horizontal="center" vertical="center" textRotation="90"/>
    </xf>
    <xf numFmtId="49" fontId="15" fillId="3" borderId="35" xfId="0" applyNumberFormat="1" applyFont="1" applyFill="1" applyBorder="1" applyAlignment="1">
      <alignment horizontal="center" vertical="center" textRotation="90" wrapText="1"/>
    </xf>
    <xf numFmtId="0" fontId="0" fillId="0" borderId="26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8" xfId="0" applyBorder="1" applyAlignment="1">
      <alignment horizontal="center"/>
    </xf>
    <xf numFmtId="49" fontId="0" fillId="3" borderId="2" xfId="0" applyNumberFormat="1" applyFill="1" applyBorder="1" applyAlignment="1">
      <alignment horizontal="center" vertical="center" textRotation="90"/>
    </xf>
    <xf numFmtId="49" fontId="0" fillId="3" borderId="0" xfId="0" applyNumberFormat="1" applyFill="1" applyAlignment="1">
      <alignment horizontal="center" vertical="center" textRotation="90"/>
    </xf>
    <xf numFmtId="49" fontId="0" fillId="3" borderId="1" xfId="0" applyNumberFormat="1" applyFill="1" applyBorder="1" applyAlignment="1">
      <alignment horizontal="center" vertical="center" textRotation="90"/>
    </xf>
  </cellXfs>
  <cellStyles count="4">
    <cellStyle name="Link" xfId="2" builtinId="8"/>
    <cellStyle name="Standard" xfId="0" builtinId="0"/>
    <cellStyle name="Standard 2" xfId="1" xr:uid="{00000000-0005-0000-0000-000002000000}"/>
    <cellStyle name="Währung 2" xfId="3" xr:uid="{00000000-0005-0000-0000-000003000000}"/>
  </cellStyles>
  <dxfs count="13">
    <dxf>
      <font>
        <color rgb="FFFF0000"/>
      </font>
    </dxf>
    <dxf>
      <font>
        <b val="0"/>
        <i val="0"/>
        <strike val="0"/>
        <color rgb="FFFF0000"/>
      </font>
      <numFmt numFmtId="30" formatCode="@"/>
    </dxf>
    <dxf>
      <font>
        <color rgb="FFFF0000"/>
      </font>
    </dxf>
    <dxf>
      <font>
        <color theme="1"/>
      </font>
      <fill>
        <patternFill>
          <bgColor theme="0"/>
        </patternFill>
      </fill>
    </dxf>
    <dxf>
      <font>
        <color theme="1"/>
      </font>
      <fill>
        <patternFill>
          <bgColor theme="0"/>
        </patternFill>
      </fill>
    </dxf>
    <dxf>
      <font>
        <color theme="0" tint="-0.14996795556505021"/>
      </font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b val="0"/>
        <i val="0"/>
        <color theme="1"/>
      </font>
      <fill>
        <patternFill>
          <bgColor rgb="FFD7D7D7"/>
        </patternFill>
      </fill>
    </dxf>
    <dxf>
      <font>
        <b val="0"/>
        <i val="0"/>
        <color theme="1"/>
      </font>
      <fill>
        <patternFill>
          <bgColor rgb="FFD7D7D7"/>
        </patternFill>
      </fill>
    </dxf>
    <dxf>
      <fill>
        <patternFill>
          <bgColor rgb="FFFFCCCC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</dxfs>
  <tableStyles count="0" defaultTableStyle="TableStyleMedium2" defaultPivotStyle="PivotStyleLight16"/>
  <colors>
    <mruColors>
      <color rgb="FFEBF6F9"/>
      <color rgb="FF0000FF"/>
      <color rgb="FF99FF66"/>
      <color rgb="FF99FF99"/>
      <color rgb="FF56B634"/>
      <color rgb="FF33CC33"/>
      <color rgb="FF66FF66"/>
      <color rgb="FFFFCCCC"/>
      <color rgb="FFD7D7D7"/>
      <color rgb="FFECECE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calcChain" Target="calcChain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3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3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3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3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3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3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3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4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4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4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4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4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4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4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4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15</xdr:row>
      <xdr:rowOff>9525</xdr:rowOff>
    </xdr:from>
    <xdr:to>
      <xdr:col>22</xdr:col>
      <xdr:colOff>19049</xdr:colOff>
      <xdr:row>27</xdr:row>
      <xdr:rowOff>142876</xdr:rowOff>
    </xdr:to>
    <xdr:sp macro="" textlink="">
      <xdr:nvSpPr>
        <xdr:cNvPr id="3" name="Textfeld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7219950" y="3581400"/>
          <a:ext cx="8496299" cy="2809876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AT" sz="2000" b="1">
              <a:solidFill>
                <a:srgbClr val="0000FF"/>
              </a:solidFill>
            </a:rPr>
            <a:t>Zusätzliche Register im Gesamtverzeichnis berücksichtigen:</a:t>
          </a:r>
        </a:p>
        <a:p>
          <a:r>
            <a:rPr lang="de-AT" sz="1400" b="1">
              <a:solidFill>
                <a:srgbClr val="0000FF"/>
              </a:solidFill>
            </a:rPr>
            <a:t>Falls zusätzliche Register durch Kopieren von vorhandenen Registern (z.B. 4.4.2 &gt; 4.4.2w)</a:t>
          </a:r>
          <a:r>
            <a:rPr lang="de-AT" sz="1400" b="1" baseline="0">
              <a:solidFill>
                <a:srgbClr val="0000FF"/>
              </a:solidFill>
            </a:rPr>
            <a:t> für weitere Kalkulationen im "Gesamt"-Verzeichnis berücksichtigt werden sollen, dann ist wie folgt vorzugehen:</a:t>
          </a:r>
        </a:p>
        <a:p>
          <a:r>
            <a:rPr lang="de-AT" sz="1100" b="1" i="0" u="none" strike="noStrike">
              <a:solidFill>
                <a:srgbClr val="0000FF"/>
              </a:solidFill>
              <a:effectLst/>
              <a:latin typeface="+mn-lt"/>
              <a:ea typeface="+mn-ea"/>
              <a:cs typeface="+mn-cs"/>
            </a:rPr>
            <a:t>1.) Im grauen</a:t>
          </a:r>
          <a:r>
            <a:rPr lang="de-AT" sz="1100" b="1" i="0" u="none" strike="noStrike" baseline="0">
              <a:solidFill>
                <a:srgbClr val="0000FF"/>
              </a:solidFill>
              <a:effectLst/>
              <a:latin typeface="+mn-lt"/>
              <a:ea typeface="+mn-ea"/>
              <a:cs typeface="+mn-cs"/>
            </a:rPr>
            <a:t> Feld unten den </a:t>
          </a:r>
          <a:r>
            <a:rPr lang="de-AT" sz="1100" b="1" i="0" u="none" strike="noStrike">
              <a:solidFill>
                <a:srgbClr val="0000FF"/>
              </a:solidFill>
              <a:effectLst/>
              <a:latin typeface="+mn-lt"/>
              <a:ea typeface="+mn-ea"/>
              <a:cs typeface="+mn-cs"/>
            </a:rPr>
            <a:t>Bereich  von der Einfügeposition bis zum Ende des grauen Bereiches markieren </a:t>
          </a:r>
        </a:p>
        <a:p>
          <a:r>
            <a:rPr lang="de-AT" sz="1100" b="1" i="0" u="none" strike="noStrike">
              <a:solidFill>
                <a:srgbClr val="0000FF"/>
              </a:solidFill>
              <a:effectLst/>
              <a:latin typeface="+mn-lt"/>
              <a:ea typeface="+mn-ea"/>
              <a:cs typeface="+mn-cs"/>
            </a:rPr>
            <a:t>	</a:t>
          </a:r>
          <a:r>
            <a:rPr lang="de-AT" sz="1100" b="0" i="0" u="none" strike="noStrike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soll</a:t>
          </a:r>
          <a:r>
            <a:rPr lang="de-AT" sz="1100" b="0" i="0" u="none" strike="noStrike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z.B. hinter Register </a:t>
          </a:r>
          <a:r>
            <a:rPr lang="de-AT" sz="1100" b="0" i="1" u="none" strike="noStrike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4.4.2</a:t>
          </a:r>
          <a:r>
            <a:rPr lang="de-AT" sz="1100" b="0" i="0" u="none" strike="noStrike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ein Register </a:t>
          </a:r>
          <a:r>
            <a:rPr lang="de-AT" sz="1100" b="0" i="1" u="none" strike="noStrike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4.4.2w</a:t>
          </a:r>
          <a:r>
            <a:rPr lang="de-AT" sz="1100" b="0" i="0" u="none" strike="noStrike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für Wiederholungsmessungen eingefügte werden, </a:t>
          </a:r>
          <a:endParaRPr lang="de-AT" sz="1400" b="0">
            <a:solidFill>
              <a:sysClr val="windowText" lastClr="000000"/>
            </a:solidFill>
          </a:endParaRPr>
        </a:p>
        <a:p>
          <a:r>
            <a:rPr lang="de-AT" sz="14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</a:t>
          </a:r>
          <a:r>
            <a:rPr lang="de-AT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dann den Bereich L38 bis U58</a:t>
          </a:r>
          <a:r>
            <a:rPr lang="de-AT" sz="1100" b="0" i="0" u="none" strike="noStrike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mit linker Maustaste markieren </a:t>
          </a:r>
        </a:p>
        <a:p>
          <a:r>
            <a:rPr lang="de-AT" sz="1100" b="0" i="0" u="none" strike="noStrike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</a:t>
          </a:r>
          <a:r>
            <a:rPr lang="de-AT" sz="1100" b="0" i="0" u="none" strike="noStrike" baseline="0">
              <a:solidFill>
                <a:srgbClr val="C00000"/>
              </a:solidFill>
              <a:effectLst/>
              <a:latin typeface="+mn-lt"/>
              <a:ea typeface="+mn-ea"/>
              <a:cs typeface="+mn-cs"/>
            </a:rPr>
            <a:t>(Achtung: Einfügung nur hinter Register 3.1 und vor Register 6.3 erlaubt!!!)</a:t>
          </a:r>
          <a:endParaRPr lang="de-AT" sz="1400">
            <a:solidFill>
              <a:srgbClr val="C00000"/>
            </a:solidFill>
          </a:endParaRPr>
        </a:p>
        <a:p>
          <a:r>
            <a:rPr lang="de-AT" sz="1100" b="1" i="0" u="none" strike="noStrike">
              <a:solidFill>
                <a:srgbClr val="0000FF"/>
              </a:solidFill>
              <a:effectLst/>
              <a:latin typeface="+mn-lt"/>
              <a:ea typeface="+mn-ea"/>
              <a:cs typeface="+mn-cs"/>
            </a:rPr>
            <a:t>2.) mit STRG X Bereich Ausschneiden und eine Zeile tiefer</a:t>
          </a:r>
          <a:r>
            <a:rPr lang="de-AT" sz="1100" b="1" i="0" u="none" strike="noStrike" baseline="0">
              <a:solidFill>
                <a:srgbClr val="0000FF"/>
              </a:solidFill>
              <a:effectLst/>
              <a:latin typeface="+mn-lt"/>
              <a:ea typeface="+mn-ea"/>
              <a:cs typeface="+mn-cs"/>
            </a:rPr>
            <a:t> (Zelle L39) wieder einfügen</a:t>
          </a:r>
          <a:endParaRPr lang="de-AT" sz="1400" b="1">
            <a:solidFill>
              <a:srgbClr val="0000FF"/>
            </a:solidFill>
          </a:endParaRPr>
        </a:p>
        <a:p>
          <a:r>
            <a:rPr lang="de-AT" sz="1100" b="1" i="0" u="none" strike="noStrike">
              <a:solidFill>
                <a:srgbClr val="0000FF"/>
              </a:solidFill>
              <a:effectLst/>
              <a:latin typeface="+mn-lt"/>
              <a:ea typeface="+mn-ea"/>
              <a:cs typeface="+mn-cs"/>
            </a:rPr>
            <a:t>3.) Zeilenbereich über der weißen Spalte herunterkopieren (L37-U37 kopieren</a:t>
          </a:r>
          <a:r>
            <a:rPr lang="de-AT" sz="1100" b="1" i="0" u="none" strike="noStrike" baseline="0">
              <a:solidFill>
                <a:srgbClr val="0000FF"/>
              </a:solidFill>
              <a:effectLst/>
              <a:latin typeface="+mn-lt"/>
              <a:ea typeface="+mn-ea"/>
              <a:cs typeface="+mn-cs"/>
            </a:rPr>
            <a:t> nach L38-U38)</a:t>
          </a:r>
        </a:p>
        <a:p>
          <a:r>
            <a:rPr lang="de-AT" sz="1100" b="1" i="0" u="none" strike="noStrike" baseline="0">
              <a:solidFill>
                <a:srgbClr val="0000FF"/>
              </a:solidFill>
              <a:effectLst/>
              <a:latin typeface="+mn-lt"/>
              <a:ea typeface="+mn-ea"/>
              <a:cs typeface="+mn-cs"/>
            </a:rPr>
            <a:t>4.) Neuen Zeilenbereich markieren und mit Ersetzen-Funktion (Start  - Suchen und Auswählen - Ersetzen) Register </a:t>
          </a:r>
          <a:r>
            <a:rPr lang="de-AT" sz="1100" b="1" i="1" u="none" strike="noStrike" baseline="0">
              <a:solidFill>
                <a:srgbClr val="0000FF"/>
              </a:solidFill>
              <a:effectLst/>
              <a:latin typeface="+mn-lt"/>
              <a:ea typeface="+mn-ea"/>
              <a:cs typeface="+mn-cs"/>
            </a:rPr>
            <a:t>4.4.2</a:t>
          </a:r>
          <a:r>
            <a:rPr lang="de-AT" sz="1100" b="1" i="0" u="none" strike="noStrike" baseline="0">
              <a:solidFill>
                <a:srgbClr val="0000FF"/>
              </a:solidFill>
              <a:effectLst/>
              <a:latin typeface="+mn-lt"/>
              <a:ea typeface="+mn-ea"/>
              <a:cs typeface="+mn-cs"/>
            </a:rPr>
            <a:t> durch </a:t>
          </a:r>
          <a:r>
            <a:rPr lang="de-AT" sz="1100" b="1" i="1" u="none" strike="noStrike" baseline="0">
              <a:solidFill>
                <a:srgbClr val="0000FF"/>
              </a:solidFill>
              <a:effectLst/>
              <a:latin typeface="+mn-lt"/>
              <a:ea typeface="+mn-ea"/>
              <a:cs typeface="+mn-cs"/>
            </a:rPr>
            <a:t>4.4.2w</a:t>
          </a:r>
          <a:r>
            <a:rPr lang="de-AT" sz="1100" b="1" i="0" u="none" strike="noStrike" baseline="0">
              <a:solidFill>
                <a:srgbClr val="0000FF"/>
              </a:solidFill>
              <a:effectLst/>
              <a:latin typeface="+mn-lt"/>
              <a:ea typeface="+mn-ea"/>
              <a:cs typeface="+mn-cs"/>
            </a:rPr>
            <a:t> ersetzen</a:t>
          </a:r>
        </a:p>
        <a:p>
          <a:r>
            <a:rPr lang="de-AT" sz="1100" b="1" i="0" u="none" strike="noStrike" baseline="0">
              <a:solidFill>
                <a:srgbClr val="0000FF"/>
              </a:solidFill>
              <a:effectLst/>
              <a:latin typeface="+mn-lt"/>
              <a:ea typeface="+mn-ea"/>
              <a:cs typeface="+mn-cs"/>
            </a:rPr>
            <a:t>	</a:t>
          </a:r>
          <a:r>
            <a:rPr lang="de-AT" sz="1100" b="1" i="0" u="none" strike="noStrike" baseline="0">
              <a:solidFill>
                <a:srgbClr val="C00000"/>
              </a:solidFill>
              <a:effectLst/>
              <a:latin typeface="+mn-lt"/>
              <a:ea typeface="+mn-ea"/>
              <a:cs typeface="+mn-cs"/>
            </a:rPr>
            <a:t>Achtung: </a:t>
          </a:r>
          <a:r>
            <a:rPr lang="de-AT" sz="1100" b="0" i="0" u="none" strike="noStrike" baseline="0">
              <a:solidFill>
                <a:srgbClr val="C00000"/>
              </a:solidFill>
              <a:effectLst/>
              <a:latin typeface="+mn-lt"/>
              <a:ea typeface="+mn-ea"/>
              <a:cs typeface="+mn-cs"/>
            </a:rPr>
            <a:t>Register </a:t>
          </a:r>
          <a:r>
            <a:rPr lang="de-AT" sz="1100" b="0" i="1" u="none" strike="noStrike" baseline="0">
              <a:solidFill>
                <a:srgbClr val="C00000"/>
              </a:solidFill>
              <a:effectLst/>
              <a:latin typeface="+mn-lt"/>
              <a:ea typeface="+mn-ea"/>
              <a:cs typeface="+mn-cs"/>
            </a:rPr>
            <a:t>4.4.2w</a:t>
          </a:r>
          <a:r>
            <a:rPr lang="de-AT" sz="1100" b="0" i="0" u="none" strike="noStrike" baseline="0">
              <a:solidFill>
                <a:srgbClr val="C00000"/>
              </a:solidFill>
              <a:effectLst/>
              <a:latin typeface="+mn-lt"/>
              <a:ea typeface="+mn-ea"/>
              <a:cs typeface="+mn-cs"/>
            </a:rPr>
            <a:t> muss zu diesem Zeitpunkt schon existieren</a:t>
          </a:r>
        </a:p>
        <a:p>
          <a:r>
            <a:rPr lang="de-AT" sz="1100" b="0" i="0" u="none" strike="noStrike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	</a:t>
          </a:r>
          <a:r>
            <a:rPr lang="de-AT" sz="1100" b="0" i="0" u="none" strike="noStrike" baseline="0">
              <a:solidFill>
                <a:srgbClr val="C00000"/>
              </a:solidFill>
              <a:effectLst/>
              <a:latin typeface="+mn-lt"/>
              <a:ea typeface="+mn-ea"/>
              <a:cs typeface="+mn-cs"/>
            </a:rPr>
            <a:t>(zur Kontrolle: 9 Ersetzungen werden vorgenommen (bei Register 3.1 werden 12 Ersetzungen vorgenommen))</a:t>
          </a:r>
          <a:endParaRPr lang="de-AT" sz="1400" b="0">
            <a:solidFill>
              <a:srgbClr val="C00000"/>
            </a:solidFill>
          </a:endParaRPr>
        </a:p>
        <a:p>
          <a:r>
            <a:rPr lang="de-AT" sz="1050" b="0" i="0" baseline="0">
              <a:solidFill>
                <a:schemeClr val="tx1">
                  <a:lumMod val="75000"/>
                  <a:lumOff val="25000"/>
                </a:schemeClr>
              </a:solidFill>
              <a:effectLst/>
              <a:latin typeface="+mn-lt"/>
              <a:ea typeface="+mn-ea"/>
              <a:cs typeface="+mn-cs"/>
            </a:rPr>
            <a:t>Um die volle Leistungsfähigkeit des Programmes aufrecht zu erhalten ist dafür Sorge zu tragen, dass die Leistungsbeschreibung (P32-P62) </a:t>
          </a:r>
          <a:r>
            <a:rPr lang="de-AT" sz="1050" b="0" i="0" u="none" strike="noStrike" baseline="0">
              <a:solidFill>
                <a:schemeClr val="tx1">
                  <a:lumMod val="75000"/>
                  <a:lumOff val="25000"/>
                </a:schemeClr>
              </a:solidFill>
              <a:effectLst/>
              <a:latin typeface="+mn-lt"/>
              <a:ea typeface="+mn-ea"/>
              <a:cs typeface="+mn-cs"/>
            </a:rPr>
            <a:t>eindeutig ist (siehe z.B. Regieleistung, Regieleistung A, ...)</a:t>
          </a:r>
          <a:r>
            <a:rPr lang="de-AT" sz="1200" b="0" i="0" u="none" strike="noStrike">
              <a:solidFill>
                <a:schemeClr val="tx1">
                  <a:lumMod val="75000"/>
                  <a:lumOff val="25000"/>
                </a:schemeClr>
              </a:solidFill>
              <a:effectLst/>
              <a:latin typeface="+mn-lt"/>
              <a:ea typeface="+mn-ea"/>
              <a:cs typeface="+mn-cs"/>
            </a:rPr>
            <a:t>	</a:t>
          </a:r>
          <a:endParaRPr lang="de-AT" sz="1200" b="1" i="0" u="none" strike="noStrike" baseline="0">
            <a:solidFill>
              <a:schemeClr val="tx1">
                <a:lumMod val="75000"/>
                <a:lumOff val="25000"/>
              </a:schemeClr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214312</xdr:colOff>
      <xdr:row>31</xdr:row>
      <xdr:rowOff>142877</xdr:rowOff>
    </xdr:from>
    <xdr:ext cx="366713" cy="315984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Textfeld 1">
              <a:extLst>
                <a:ext uri="{FF2B5EF4-FFF2-40B4-BE49-F238E27FC236}">
                  <a16:creationId xmlns:a16="http://schemas.microsoft.com/office/drawing/2014/main" id="{00000000-0008-0000-1600-000002000000}"/>
                </a:ext>
              </a:extLst>
            </xdr:cNvPr>
            <xdr:cNvSpPr txBox="1"/>
          </xdr:nvSpPr>
          <xdr:spPr>
            <a:xfrm>
              <a:off x="928687" y="7258052"/>
              <a:ext cx="366713" cy="315984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nary>
                      <m:naryPr>
                        <m:chr m:val="∑"/>
                        <m:subHide m:val="on"/>
                        <m:supHide m:val="on"/>
                        <m:ctrlPr>
                          <a:rPr lang="de-AT" sz="600" i="1">
                            <a:latin typeface="Cambria Math" panose="02040503050406030204" pitchFamily="18" charset="0"/>
                          </a:rPr>
                        </m:ctrlPr>
                      </m:naryPr>
                      <m:sub/>
                      <m:sup/>
                      <m:e/>
                    </m:nary>
                  </m:oMath>
                </m:oMathPara>
              </a14:m>
              <a:endParaRPr lang="de-AT" sz="600">
                <a:latin typeface="+mn-lt"/>
              </a:endParaRPr>
            </a:p>
          </xdr:txBody>
        </xdr:sp>
      </mc:Choice>
      <mc:Fallback xmlns="">
        <xdr:sp macro="" textlink="">
          <xdr:nvSpPr>
            <xdr:cNvPr id="2" name="Textfeld 1"/>
            <xdr:cNvSpPr txBox="1"/>
          </xdr:nvSpPr>
          <xdr:spPr>
            <a:xfrm>
              <a:off x="928687" y="7258052"/>
              <a:ext cx="366713" cy="315984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spAutoFit/>
            </a:bodyPr>
            <a:lstStyle/>
            <a:p>
              <a:r>
                <a:rPr lang="de-AT" sz="600" i="0">
                  <a:latin typeface="+mn-lt"/>
                </a:rPr>
                <a:t>∑</a:t>
              </a:r>
              <a:endParaRPr lang="de-AT" sz="600">
                <a:latin typeface="+mn-lt"/>
              </a:endParaRPr>
            </a:p>
          </xdr:txBody>
        </xdr:sp>
      </mc:Fallback>
    </mc:AlternateContent>
    <xdr:clientData/>
  </xdr:oneCellAnchor>
  <xdr:oneCellAnchor>
    <xdr:from>
      <xdr:col>3</xdr:col>
      <xdr:colOff>23812</xdr:colOff>
      <xdr:row>31</xdr:row>
      <xdr:rowOff>142877</xdr:rowOff>
    </xdr:from>
    <xdr:ext cx="366713" cy="315984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3" name="Textfeld 2">
              <a:extLst>
                <a:ext uri="{FF2B5EF4-FFF2-40B4-BE49-F238E27FC236}">
                  <a16:creationId xmlns:a16="http://schemas.microsoft.com/office/drawing/2014/main" id="{00000000-0008-0000-1600-000003000000}"/>
                </a:ext>
              </a:extLst>
            </xdr:cNvPr>
            <xdr:cNvSpPr txBox="1"/>
          </xdr:nvSpPr>
          <xdr:spPr>
            <a:xfrm>
              <a:off x="1585912" y="7258052"/>
              <a:ext cx="366713" cy="315984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nary>
                      <m:naryPr>
                        <m:chr m:val="∑"/>
                        <m:subHide m:val="on"/>
                        <m:supHide m:val="on"/>
                        <m:ctrlPr>
                          <a:rPr lang="de-AT" sz="600" i="1">
                            <a:latin typeface="Cambria Math" panose="02040503050406030204" pitchFamily="18" charset="0"/>
                          </a:rPr>
                        </m:ctrlPr>
                      </m:naryPr>
                      <m:sub/>
                      <m:sup/>
                      <m:e/>
                    </m:nary>
                  </m:oMath>
                </m:oMathPara>
              </a14:m>
              <a:endParaRPr lang="de-AT" sz="600">
                <a:latin typeface="+mn-lt"/>
              </a:endParaRPr>
            </a:p>
          </xdr:txBody>
        </xdr:sp>
      </mc:Choice>
      <mc:Fallback xmlns="">
        <xdr:sp macro="" textlink="">
          <xdr:nvSpPr>
            <xdr:cNvPr id="3" name="Textfeld 2"/>
            <xdr:cNvSpPr txBox="1"/>
          </xdr:nvSpPr>
          <xdr:spPr>
            <a:xfrm>
              <a:off x="1585912" y="7258052"/>
              <a:ext cx="366713" cy="315984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spAutoFit/>
            </a:bodyPr>
            <a:lstStyle/>
            <a:p>
              <a:r>
                <a:rPr lang="de-AT" sz="600" i="0">
                  <a:latin typeface="+mn-lt"/>
                </a:rPr>
                <a:t>∑</a:t>
              </a:r>
              <a:endParaRPr lang="de-AT" sz="600">
                <a:latin typeface="+mn-lt"/>
              </a:endParaRPr>
            </a:p>
          </xdr:txBody>
        </xdr:sp>
      </mc:Fallback>
    </mc:AlternateContent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5" Type="http://schemas.openxmlformats.org/officeDocument/2006/relationships/comments" Target="../comments1.xml"/><Relationship Id="rId4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2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3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9.v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6.bin"/><Relationship Id="rId4" Type="http://schemas.openxmlformats.org/officeDocument/2006/relationships/comments" Target="../comments4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1.vml"/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5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3.vml"/><Relationship Id="rId2" Type="http://schemas.openxmlformats.org/officeDocument/2006/relationships/vmlDrawing" Target="../drawings/vmlDrawing12.vml"/><Relationship Id="rId1" Type="http://schemas.openxmlformats.org/officeDocument/2006/relationships/printerSettings" Target="../printerSettings/printerSettings8.bin"/><Relationship Id="rId4" Type="http://schemas.openxmlformats.org/officeDocument/2006/relationships/comments" Target="../comments6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4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5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7.vml"/><Relationship Id="rId2" Type="http://schemas.openxmlformats.org/officeDocument/2006/relationships/vmlDrawing" Target="../drawings/vmlDrawing16.vml"/><Relationship Id="rId1" Type="http://schemas.openxmlformats.org/officeDocument/2006/relationships/printerSettings" Target="../printerSettings/printerSettings11.bin"/><Relationship Id="rId4" Type="http://schemas.openxmlformats.org/officeDocument/2006/relationships/comments" Target="../comments7.xm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9.vml"/><Relationship Id="rId2" Type="http://schemas.openxmlformats.org/officeDocument/2006/relationships/vmlDrawing" Target="../drawings/vmlDrawing18.vml"/><Relationship Id="rId1" Type="http://schemas.openxmlformats.org/officeDocument/2006/relationships/printerSettings" Target="../printerSettings/printerSettings12.bin"/><Relationship Id="rId4" Type="http://schemas.openxmlformats.org/officeDocument/2006/relationships/comments" Target="../comments8.xm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1.vml"/><Relationship Id="rId2" Type="http://schemas.openxmlformats.org/officeDocument/2006/relationships/vmlDrawing" Target="../drawings/vmlDrawing20.vml"/><Relationship Id="rId1" Type="http://schemas.openxmlformats.org/officeDocument/2006/relationships/printerSettings" Target="../printerSettings/printerSettings13.bin"/><Relationship Id="rId4" Type="http://schemas.openxmlformats.org/officeDocument/2006/relationships/comments" Target="../comments9.xml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3.vml"/><Relationship Id="rId2" Type="http://schemas.openxmlformats.org/officeDocument/2006/relationships/vmlDrawing" Target="../drawings/vmlDrawing22.vml"/><Relationship Id="rId1" Type="http://schemas.openxmlformats.org/officeDocument/2006/relationships/printerSettings" Target="../printerSettings/printerSettings14.bin"/><Relationship Id="rId4" Type="http://schemas.openxmlformats.org/officeDocument/2006/relationships/comments" Target="../comments10.xml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5.vml"/><Relationship Id="rId2" Type="http://schemas.openxmlformats.org/officeDocument/2006/relationships/vmlDrawing" Target="../drawings/vmlDrawing24.vml"/><Relationship Id="rId1" Type="http://schemas.openxmlformats.org/officeDocument/2006/relationships/printerSettings" Target="../printerSettings/printerSettings15.bin"/><Relationship Id="rId4" Type="http://schemas.openxmlformats.org/officeDocument/2006/relationships/comments" Target="../comments11.xml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7.vml"/><Relationship Id="rId2" Type="http://schemas.openxmlformats.org/officeDocument/2006/relationships/vmlDrawing" Target="../drawings/vmlDrawing26.vml"/><Relationship Id="rId1" Type="http://schemas.openxmlformats.org/officeDocument/2006/relationships/printerSettings" Target="../printerSettings/printerSettings16.bin"/><Relationship Id="rId4" Type="http://schemas.openxmlformats.org/officeDocument/2006/relationships/comments" Target="../comments12.xm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8.v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9.v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1.vml"/><Relationship Id="rId2" Type="http://schemas.openxmlformats.org/officeDocument/2006/relationships/vmlDrawing" Target="../drawings/vmlDrawing30.vml"/><Relationship Id="rId1" Type="http://schemas.openxmlformats.org/officeDocument/2006/relationships/printerSettings" Target="../printerSettings/printerSettings19.bin"/><Relationship Id="rId4" Type="http://schemas.openxmlformats.org/officeDocument/2006/relationships/comments" Target="../comments13.xml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3.vml"/><Relationship Id="rId2" Type="http://schemas.openxmlformats.org/officeDocument/2006/relationships/vmlDrawing" Target="../drawings/vmlDrawing32.vml"/><Relationship Id="rId1" Type="http://schemas.openxmlformats.org/officeDocument/2006/relationships/printerSettings" Target="../printerSettings/printerSettings20.bin"/><Relationship Id="rId4" Type="http://schemas.openxmlformats.org/officeDocument/2006/relationships/comments" Target="../comments14.xml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4.v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5.v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6.v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7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4.bin"/><Relationship Id="rId5" Type="http://schemas.openxmlformats.org/officeDocument/2006/relationships/comments" Target="../comments15.xml"/><Relationship Id="rId4" Type="http://schemas.openxmlformats.org/officeDocument/2006/relationships/vmlDrawing" Target="../drawings/vmlDrawing38.vml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9.v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0.v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1.v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2.v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3.v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4.v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5.v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6.v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7.v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5.bin"/><Relationship Id="rId1" Type="http://schemas.openxmlformats.org/officeDocument/2006/relationships/hyperlink" Target="mailto:florian.helm@kopa.at?subject=LB-VG%20-%20Kalkulationsprogramm,%20Release%2002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tabColor theme="7" tint="0.59999389629810485"/>
  </sheetPr>
  <dimension ref="A1:E43"/>
  <sheetViews>
    <sheetView workbookViewId="0">
      <selection activeCell="M21" sqref="M21"/>
    </sheetView>
  </sheetViews>
  <sheetFormatPr baseColWidth="10" defaultRowHeight="14.5" x14ac:dyDescent="0.35"/>
  <cols>
    <col min="1" max="1" width="2" style="28" bestFit="1" customWidth="1"/>
    <col min="2" max="2" width="5" style="251" bestFit="1" customWidth="1"/>
    <col min="3" max="3" width="10.1796875" style="251" bestFit="1" customWidth="1"/>
    <col min="4" max="4" width="88.54296875" customWidth="1"/>
    <col min="5" max="5" width="5" customWidth="1"/>
  </cols>
  <sheetData>
    <row r="1" spans="1:5" x14ac:dyDescent="0.35">
      <c r="A1" s="26">
        <v>3</v>
      </c>
      <c r="B1" s="250"/>
      <c r="C1" s="250"/>
      <c r="D1" s="27" t="s">
        <v>81</v>
      </c>
      <c r="E1" s="4"/>
    </row>
    <row r="2" spans="1:5" x14ac:dyDescent="0.35">
      <c r="A2" s="26"/>
      <c r="B2" s="250" t="s">
        <v>634</v>
      </c>
      <c r="C2" s="250"/>
      <c r="D2" s="290" t="s">
        <v>1123</v>
      </c>
      <c r="E2" s="4"/>
    </row>
    <row r="3" spans="1:5" x14ac:dyDescent="0.35">
      <c r="A3" s="26"/>
      <c r="B3" s="250"/>
      <c r="C3" s="250"/>
      <c r="D3" s="4"/>
      <c r="E3" s="4"/>
    </row>
    <row r="4" spans="1:5" x14ac:dyDescent="0.35">
      <c r="A4" s="26">
        <v>4</v>
      </c>
      <c r="B4" s="250"/>
      <c r="C4" s="250"/>
      <c r="D4" s="27" t="s">
        <v>82</v>
      </c>
      <c r="E4" s="4"/>
    </row>
    <row r="5" spans="1:5" x14ac:dyDescent="0.35">
      <c r="A5" s="26"/>
      <c r="B5" s="250" t="s">
        <v>635</v>
      </c>
      <c r="C5" s="250"/>
      <c r="D5" t="s">
        <v>83</v>
      </c>
      <c r="E5" s="4"/>
    </row>
    <row r="6" spans="1:5" x14ac:dyDescent="0.35">
      <c r="A6" s="26"/>
      <c r="B6" s="250"/>
      <c r="C6" s="250" t="s">
        <v>1127</v>
      </c>
      <c r="D6" s="455" t="s">
        <v>1126</v>
      </c>
      <c r="E6" s="4"/>
    </row>
    <row r="7" spans="1:5" x14ac:dyDescent="0.35">
      <c r="A7" s="26"/>
      <c r="B7" s="250"/>
      <c r="C7" s="250" t="s">
        <v>1128</v>
      </c>
      <c r="D7" s="290" t="s">
        <v>1129</v>
      </c>
      <c r="E7" s="4"/>
    </row>
    <row r="8" spans="1:5" x14ac:dyDescent="0.35">
      <c r="A8" s="26"/>
      <c r="B8" s="250" t="s">
        <v>636</v>
      </c>
      <c r="C8" s="250"/>
      <c r="D8" s="290" t="s">
        <v>84</v>
      </c>
      <c r="E8" s="4"/>
    </row>
    <row r="9" spans="1:5" x14ac:dyDescent="0.35">
      <c r="A9" s="26"/>
      <c r="B9" s="250" t="s">
        <v>637</v>
      </c>
      <c r="C9" s="250"/>
      <c r="D9" s="290" t="s">
        <v>85</v>
      </c>
      <c r="E9" s="4"/>
    </row>
    <row r="10" spans="1:5" x14ac:dyDescent="0.35">
      <c r="A10" s="26"/>
      <c r="B10" s="250" t="s">
        <v>638</v>
      </c>
      <c r="C10" s="250"/>
      <c r="D10" t="s">
        <v>86</v>
      </c>
      <c r="E10" s="4"/>
    </row>
    <row r="11" spans="1:5" x14ac:dyDescent="0.35">
      <c r="A11" s="26"/>
      <c r="B11" s="250"/>
      <c r="C11" s="250" t="s">
        <v>717</v>
      </c>
      <c r="D11" s="455" t="s">
        <v>719</v>
      </c>
      <c r="E11" s="4"/>
    </row>
    <row r="12" spans="1:5" x14ac:dyDescent="0.35">
      <c r="A12" s="26"/>
      <c r="B12" s="250"/>
      <c r="C12" s="250" t="s">
        <v>639</v>
      </c>
      <c r="D12" s="290" t="s">
        <v>561</v>
      </c>
      <c r="E12" s="4"/>
    </row>
    <row r="13" spans="1:5" x14ac:dyDescent="0.35">
      <c r="A13" s="26"/>
      <c r="B13" s="250"/>
      <c r="C13" s="250" t="s">
        <v>640</v>
      </c>
      <c r="D13" s="290" t="s">
        <v>720</v>
      </c>
      <c r="E13" s="4"/>
    </row>
    <row r="14" spans="1:5" x14ac:dyDescent="0.35">
      <c r="A14" s="26"/>
      <c r="B14" s="250"/>
      <c r="C14" s="250" t="s">
        <v>718</v>
      </c>
      <c r="D14" s="290" t="s">
        <v>721</v>
      </c>
      <c r="E14" s="4"/>
    </row>
    <row r="15" spans="1:5" x14ac:dyDescent="0.35">
      <c r="A15" s="26"/>
      <c r="B15" s="250" t="s">
        <v>644</v>
      </c>
      <c r="C15" s="250"/>
      <c r="D15" s="290" t="s">
        <v>87</v>
      </c>
      <c r="E15" s="4"/>
    </row>
    <row r="16" spans="1:5" x14ac:dyDescent="0.35">
      <c r="A16" s="26"/>
      <c r="B16" s="250" t="s">
        <v>645</v>
      </c>
      <c r="C16" s="250"/>
      <c r="D16" s="290" t="s">
        <v>88</v>
      </c>
      <c r="E16" s="4"/>
    </row>
    <row r="17" spans="1:5" x14ac:dyDescent="0.35">
      <c r="A17" s="26"/>
      <c r="B17" s="250" t="s">
        <v>646</v>
      </c>
      <c r="C17" s="250"/>
      <c r="D17" s="152" t="s">
        <v>89</v>
      </c>
      <c r="E17" s="4"/>
    </row>
    <row r="18" spans="1:5" x14ac:dyDescent="0.35">
      <c r="A18" s="26"/>
      <c r="B18" s="250"/>
      <c r="C18" s="250" t="s">
        <v>641</v>
      </c>
      <c r="D18" s="290" t="s">
        <v>90</v>
      </c>
      <c r="E18" s="4"/>
    </row>
    <row r="19" spans="1:5" x14ac:dyDescent="0.35">
      <c r="A19" s="26"/>
      <c r="B19" s="250"/>
      <c r="C19" s="250" t="s">
        <v>642</v>
      </c>
      <c r="D19" s="290" t="s">
        <v>1040</v>
      </c>
      <c r="E19" s="4"/>
    </row>
    <row r="20" spans="1:5" x14ac:dyDescent="0.35">
      <c r="A20" s="26"/>
      <c r="B20" s="250"/>
      <c r="C20" s="250" t="s">
        <v>643</v>
      </c>
      <c r="D20" s="455" t="s">
        <v>91</v>
      </c>
      <c r="E20" s="4"/>
    </row>
    <row r="21" spans="1:5" x14ac:dyDescent="0.35">
      <c r="A21" s="26"/>
      <c r="B21" s="250"/>
      <c r="C21" s="250" t="s">
        <v>647</v>
      </c>
      <c r="D21" s="290" t="s">
        <v>92</v>
      </c>
      <c r="E21" s="4"/>
    </row>
    <row r="22" spans="1:5" x14ac:dyDescent="0.35">
      <c r="A22" s="26"/>
      <c r="B22" s="250"/>
      <c r="C22" s="250" t="s">
        <v>1122</v>
      </c>
      <c r="D22" s="290" t="s">
        <v>93</v>
      </c>
      <c r="E22" s="4"/>
    </row>
    <row r="23" spans="1:5" x14ac:dyDescent="0.35">
      <c r="A23" s="26"/>
      <c r="B23" s="250" t="s">
        <v>648</v>
      </c>
      <c r="C23" s="250"/>
      <c r="D23" s="290" t="s">
        <v>94</v>
      </c>
      <c r="E23" s="4"/>
    </row>
    <row r="24" spans="1:5" x14ac:dyDescent="0.35">
      <c r="A24" s="26"/>
      <c r="B24" s="250" t="s">
        <v>649</v>
      </c>
      <c r="C24" s="250"/>
      <c r="D24" s="290" t="s">
        <v>95</v>
      </c>
      <c r="E24" s="4"/>
    </row>
    <row r="25" spans="1:5" x14ac:dyDescent="0.35">
      <c r="A25" s="26"/>
      <c r="B25" s="250" t="s">
        <v>650</v>
      </c>
      <c r="C25" s="250"/>
      <c r="D25" s="290" t="s">
        <v>96</v>
      </c>
      <c r="E25" s="4"/>
    </row>
    <row r="26" spans="1:5" x14ac:dyDescent="0.35">
      <c r="A26" s="26"/>
      <c r="B26" s="250" t="s">
        <v>651</v>
      </c>
      <c r="C26" s="250"/>
      <c r="D26" s="290" t="s">
        <v>97</v>
      </c>
      <c r="E26" s="4"/>
    </row>
    <row r="27" spans="1:5" x14ac:dyDescent="0.35">
      <c r="A27" s="26"/>
      <c r="B27" s="250" t="s">
        <v>652</v>
      </c>
      <c r="C27" s="250"/>
      <c r="D27" s="290" t="s">
        <v>98</v>
      </c>
      <c r="E27" s="4"/>
    </row>
    <row r="28" spans="1:5" x14ac:dyDescent="0.35">
      <c r="A28" s="26"/>
      <c r="B28" s="250" t="s">
        <v>653</v>
      </c>
      <c r="C28" s="250"/>
      <c r="D28" s="290" t="s">
        <v>99</v>
      </c>
      <c r="E28" s="4"/>
    </row>
    <row r="29" spans="1:5" x14ac:dyDescent="0.35">
      <c r="A29" s="26"/>
      <c r="B29" s="250" t="s">
        <v>654</v>
      </c>
      <c r="C29" s="250"/>
      <c r="D29" s="290" t="s">
        <v>100</v>
      </c>
      <c r="E29" s="4"/>
    </row>
    <row r="30" spans="1:5" x14ac:dyDescent="0.35">
      <c r="A30" s="26"/>
      <c r="B30" s="250" t="s">
        <v>655</v>
      </c>
      <c r="C30" s="250"/>
      <c r="D30" s="290" t="s">
        <v>101</v>
      </c>
      <c r="E30" s="4"/>
    </row>
    <row r="31" spans="1:5" x14ac:dyDescent="0.35">
      <c r="A31" s="26"/>
      <c r="B31" s="250"/>
      <c r="C31" s="250"/>
      <c r="D31" s="4"/>
      <c r="E31" s="4"/>
    </row>
    <row r="32" spans="1:5" x14ac:dyDescent="0.35">
      <c r="A32" s="26">
        <v>5</v>
      </c>
      <c r="B32" s="250"/>
      <c r="C32" s="250"/>
      <c r="D32" s="27" t="s">
        <v>102</v>
      </c>
      <c r="E32" s="4"/>
    </row>
    <row r="33" spans="1:5" x14ac:dyDescent="0.35">
      <c r="A33" s="26"/>
      <c r="B33" s="250" t="s">
        <v>656</v>
      </c>
      <c r="C33" s="250"/>
      <c r="D33" s="290" t="s">
        <v>964</v>
      </c>
      <c r="E33" s="4"/>
    </row>
    <row r="34" spans="1:5" x14ac:dyDescent="0.35">
      <c r="A34" s="26"/>
      <c r="B34" s="250"/>
      <c r="C34" s="250"/>
      <c r="D34" s="4"/>
      <c r="E34" s="4"/>
    </row>
    <row r="35" spans="1:5" x14ac:dyDescent="0.35">
      <c r="A35" s="26">
        <v>6</v>
      </c>
      <c r="B35" s="250"/>
      <c r="C35" s="250"/>
      <c r="D35" s="27" t="s">
        <v>103</v>
      </c>
      <c r="E35" s="4"/>
    </row>
    <row r="36" spans="1:5" x14ac:dyDescent="0.35">
      <c r="A36" s="26"/>
      <c r="B36" s="250" t="s">
        <v>657</v>
      </c>
      <c r="C36" s="250"/>
      <c r="D36" s="290" t="s">
        <v>104</v>
      </c>
      <c r="E36" s="4"/>
    </row>
    <row r="37" spans="1:5" x14ac:dyDescent="0.35">
      <c r="A37" s="26"/>
      <c r="B37" s="250" t="s">
        <v>658</v>
      </c>
      <c r="C37" s="250"/>
      <c r="D37" s="455" t="s">
        <v>105</v>
      </c>
      <c r="E37" s="4"/>
    </row>
    <row r="38" spans="1:5" x14ac:dyDescent="0.35">
      <c r="A38" s="26"/>
      <c r="B38" s="250" t="s">
        <v>659</v>
      </c>
      <c r="C38" s="250"/>
      <c r="D38" s="290" t="s">
        <v>1</v>
      </c>
      <c r="E38" s="4"/>
    </row>
    <row r="39" spans="1:5" x14ac:dyDescent="0.35">
      <c r="A39" s="26"/>
      <c r="B39" s="250"/>
      <c r="C39" s="250"/>
      <c r="D39" s="4"/>
      <c r="E39" s="4"/>
    </row>
    <row r="40" spans="1:5" x14ac:dyDescent="0.35">
      <c r="A40" s="26">
        <v>7</v>
      </c>
      <c r="B40" s="250"/>
      <c r="C40" s="250"/>
      <c r="D40" s="27" t="s">
        <v>961</v>
      </c>
      <c r="E40" s="4"/>
    </row>
    <row r="41" spans="1:5" x14ac:dyDescent="0.35">
      <c r="A41" s="26"/>
      <c r="B41" s="250" t="s">
        <v>962</v>
      </c>
      <c r="C41" s="250"/>
      <c r="D41" s="290" t="s">
        <v>965</v>
      </c>
      <c r="E41" s="4"/>
    </row>
    <row r="42" spans="1:5" x14ac:dyDescent="0.35">
      <c r="A42" s="26"/>
      <c r="B42" s="250" t="s">
        <v>963</v>
      </c>
      <c r="C42" s="250"/>
      <c r="D42" s="290" t="s">
        <v>966</v>
      </c>
      <c r="E42" s="4"/>
    </row>
    <row r="43" spans="1:5" x14ac:dyDescent="0.35">
      <c r="A43" s="26"/>
      <c r="B43" s="250"/>
      <c r="C43" s="250"/>
      <c r="D43" s="4"/>
      <c r="E43" s="4"/>
    </row>
  </sheetData>
  <phoneticPr fontId="46" type="noConversion"/>
  <hyperlinks>
    <hyperlink ref="D18" location="'4.7.1'!A1" display="Lage- und Höhenplan mit Höhenkoten und Höhenlinien" xr:uid="{00000000-0004-0000-0000-000000000000}"/>
    <hyperlink ref="D23" location="'4.7.2'!A1" display="Nutzflächenermittlung" xr:uid="{00000000-0004-0000-0000-000004000000}"/>
    <hyperlink ref="D24" location="'4.9'!A1" display="Herstellung von Baubestandsplänen" xr:uid="{00000000-0004-0000-0000-000005000000}"/>
    <hyperlink ref="D26" location="'4.11'!A1" display="Absteckungen" xr:uid="{00000000-0004-0000-0000-000006000000}"/>
    <hyperlink ref="D27" location="'4.12'!A1" display="Achseinrechnung und Berechnung von Achszwischenpunkten" xr:uid="{00000000-0004-0000-0000-000007000000}"/>
    <hyperlink ref="D30" location="'4.15'!A1" display="Signalisierung und Stabilisierung" xr:uid="{00000000-0004-0000-0000-000008000000}"/>
    <hyperlink ref="D7" location="'4.1.3'!A1" display="Polygonzug" xr:uid="{00000000-0004-0000-0000-000009000000}"/>
    <hyperlink ref="D8" location="'4.2'!A1" display="Einzelpunkteinschaltung" xr:uid="{00000000-0004-0000-0000-00000A000000}"/>
    <hyperlink ref="D9" location="'4.3'!A1" display="Kreisel-Stütz-Azimut" xr:uid="{00000000-0004-0000-0000-00000B000000}"/>
    <hyperlink ref="D12" location="'4.4.2'!A1" display="Setzungsmessung, Flächennivellement" xr:uid="{00000000-0004-0000-0000-00000C000000}"/>
    <hyperlink ref="D13" location="'4.4.x'!A1" display="Detailpunkte - Zwangspunkte" xr:uid="{00000000-0004-0000-0000-00000D000000}"/>
    <hyperlink ref="D16" location="'4.6'!A1" display="Nivellement" xr:uid="{00000000-0004-0000-0000-00000E000000}"/>
    <hyperlink ref="D25" location="'4.10'!A1" display="Herstellung von Profilen" xr:uid="{00000000-0004-0000-0000-00000F000000}"/>
    <hyperlink ref="D28" location="'4.13'!A1" display="Photogrammetrie" xr:uid="{00000000-0004-0000-0000-000010000000}"/>
    <hyperlink ref="D37" location="'6.2'!A1" display="Regieleistungen" xr:uid="{00000000-0004-0000-0000-000011000000}"/>
    <hyperlink ref="D36" location="'6.1'!A1" display="Kanzleihonorare" xr:uid="{00000000-0004-0000-0000-000012000000}"/>
    <hyperlink ref="D38" location="'6.3'!A1" display="Nebenkosten" xr:uid="{00000000-0004-0000-0000-000013000000}"/>
    <hyperlink ref="D29" location="'4.14'!A1" display="Laserscanning" xr:uid="{00000000-0004-0000-0000-000014000000}"/>
    <hyperlink ref="D33" location="'5.1'!A1" display="Bearbeitungsaufwand" xr:uid="{00000000-0004-0000-0000-000015000000}"/>
    <hyperlink ref="D6" location="'4.1.x'!A1" display="Netzmessung  (bis 600m durchschn. Seitenlänge)" xr:uid="{00000000-0004-0000-0000-000016000000}"/>
    <hyperlink ref="D14" location="'4.4.x'!A1" display="Detailpunkte - Kontrollaufnahme (Soll-Ist-Vergleich)" xr:uid="{00000000-0004-0000-0000-000018000000}"/>
    <hyperlink ref="D11" location="'4.4.x'!A1" display="Detailpunkte - Deformationsmessung" xr:uid="{00000000-0004-0000-0000-000019000000}"/>
    <hyperlink ref="D15" location="'4.5'!A1" display="Punktbestimmung durch kinematische GNSS-Messung" xr:uid="{00000000-0004-0000-0000-00001A000000}"/>
    <hyperlink ref="D2" location="'3.1'!A1" display=" Tätigkeiten, die bei jeder Katastervermessung zu erfolgen haben" xr:uid="{00000000-0004-0000-0000-00001B000000}"/>
    <hyperlink ref="D41" location="'7.1'!ZuAbschlag" display="KATASTEREINTRAGUNG" xr:uid="{00000000-0004-0000-0000-00001C000000}"/>
    <hyperlink ref="D42" location="'7.2'!ZuAbschlag" display="EINBAUTENERHEBUNG und -EINTRAGUNG" xr:uid="{00000000-0004-0000-0000-00001D000000}"/>
    <hyperlink ref="D19" location="'4.7.2'!A1" display="Erstellen und verfeinern eines DGM" xr:uid="{3151A4CE-BE16-49D6-B311-01431A4BD46A}"/>
    <hyperlink ref="D20" location="'4.7.3'!A1" display="3d-Planerstellung auf Basis eines 2,5d-Lage- und Höhenplanes" xr:uid="{A42827C1-AF29-41F2-9964-9FC4E9449FF2}"/>
    <hyperlink ref="D21" location="'4.7.4'!A1" display="Umbildung einer Geländeaufnahme durch Maßstabsänderung" xr:uid="{DDEFE82F-591C-42CE-9910-0CE811FF4DD7}"/>
    <hyperlink ref="D22" location="'4.7.5'!A1" display="Umbildung einer Geländeaufnahme vom analogen auf digitalen Datenträger" xr:uid="{6848818B-4D72-40D7-B5F1-DB9C615553AC}"/>
  </hyperlink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4">
    <tabColor theme="7" tint="0.59999389629810485"/>
  </sheetPr>
  <dimension ref="A1:U72"/>
  <sheetViews>
    <sheetView topLeftCell="A7" zoomScaleNormal="100" workbookViewId="0">
      <selection activeCell="E14" sqref="E14"/>
    </sheetView>
  </sheetViews>
  <sheetFormatPr baseColWidth="10" defaultRowHeight="14.5" x14ac:dyDescent="0.35"/>
  <cols>
    <col min="1" max="1" width="4" customWidth="1"/>
    <col min="2" max="2" width="6.7265625" customWidth="1"/>
    <col min="3" max="5" width="12.7265625" customWidth="1"/>
    <col min="6" max="6" width="18.1796875" customWidth="1"/>
    <col min="7" max="8" width="12.7265625" customWidth="1"/>
    <col min="9" max="9" width="2" customWidth="1"/>
    <col min="10" max="10" width="6.7265625" customWidth="1"/>
    <col min="11" max="11" width="7.1796875" customWidth="1"/>
    <col min="12" max="12" width="11" customWidth="1"/>
    <col min="14" max="14" width="11.453125" style="1"/>
    <col min="19" max="19" width="13.26953125" customWidth="1"/>
  </cols>
  <sheetData>
    <row r="1" spans="1:18" ht="17.25" customHeight="1" x14ac:dyDescent="0.35">
      <c r="A1" s="833" t="s">
        <v>35</v>
      </c>
      <c r="B1" s="12"/>
      <c r="C1" s="4"/>
      <c r="D1" s="4"/>
      <c r="E1" s="4"/>
      <c r="F1" s="4"/>
      <c r="G1" s="4"/>
      <c r="H1" s="4"/>
      <c r="I1" s="4"/>
    </row>
    <row r="2" spans="1:18" ht="17.25" customHeight="1" x14ac:dyDescent="0.35">
      <c r="A2" s="833"/>
      <c r="B2" s="12"/>
      <c r="C2" s="8" t="s">
        <v>38</v>
      </c>
      <c r="D2" s="4"/>
      <c r="E2" s="834"/>
      <c r="F2" s="834"/>
      <c r="G2" s="834"/>
      <c r="H2" s="834"/>
      <c r="I2" s="4"/>
      <c r="L2" s="835" t="s">
        <v>595</v>
      </c>
      <c r="M2" s="836"/>
      <c r="N2" s="836"/>
      <c r="O2" s="836"/>
      <c r="P2" s="837"/>
    </row>
    <row r="3" spans="1:18" ht="17.25" customHeight="1" x14ac:dyDescent="0.35">
      <c r="A3" s="833"/>
      <c r="B3" s="12"/>
      <c r="C3" s="4"/>
      <c r="D3" s="4"/>
      <c r="E3" s="4"/>
      <c r="F3" s="4"/>
      <c r="G3" s="4"/>
      <c r="H3" s="4"/>
      <c r="I3" s="4"/>
      <c r="L3" s="838"/>
      <c r="M3" s="839"/>
      <c r="N3" s="839"/>
      <c r="O3" s="839"/>
      <c r="P3" s="840"/>
    </row>
    <row r="4" spans="1:18" ht="17.25" customHeight="1" x14ac:dyDescent="0.35">
      <c r="A4" s="833"/>
      <c r="B4" s="12"/>
      <c r="C4" s="8" t="s">
        <v>37</v>
      </c>
      <c r="D4" s="7"/>
      <c r="E4" s="834"/>
      <c r="F4" s="834"/>
      <c r="G4" s="834"/>
      <c r="H4" s="834"/>
      <c r="I4" s="4"/>
      <c r="L4" s="423"/>
      <c r="M4" s="94"/>
      <c r="N4" s="100"/>
      <c r="O4" s="94"/>
    </row>
    <row r="5" spans="1:18" ht="17.25" customHeight="1" x14ac:dyDescent="0.35">
      <c r="A5" s="833"/>
      <c r="B5" s="12"/>
      <c r="C5" s="8" t="s">
        <v>40</v>
      </c>
      <c r="D5" s="7"/>
      <c r="E5" s="834"/>
      <c r="F5" s="834"/>
      <c r="G5" s="834"/>
      <c r="H5" s="834"/>
      <c r="I5" s="4"/>
      <c r="L5" s="423" t="s">
        <v>573</v>
      </c>
      <c r="M5" s="94"/>
      <c r="N5" s="100">
        <v>3</v>
      </c>
      <c r="O5" s="94"/>
    </row>
    <row r="6" spans="1:18" ht="19.5" customHeight="1" x14ac:dyDescent="0.35">
      <c r="A6" s="833"/>
      <c r="B6" s="12"/>
      <c r="C6" s="8" t="s">
        <v>78</v>
      </c>
      <c r="D6" s="7"/>
      <c r="E6" s="834"/>
      <c r="F6" s="834"/>
      <c r="G6" s="834"/>
      <c r="H6" s="834"/>
      <c r="I6" s="4"/>
      <c r="L6" s="423" t="s">
        <v>574</v>
      </c>
      <c r="M6" s="98"/>
      <c r="N6" s="100">
        <v>2</v>
      </c>
      <c r="O6" s="98"/>
    </row>
    <row r="7" spans="1:18" ht="19.5" customHeight="1" x14ac:dyDescent="0.35">
      <c r="A7" s="833"/>
      <c r="B7" s="13"/>
      <c r="C7" s="8" t="s">
        <v>77</v>
      </c>
      <c r="D7" s="7"/>
      <c r="E7" s="834"/>
      <c r="F7" s="834"/>
      <c r="G7" s="834"/>
      <c r="H7" s="834"/>
      <c r="I7" s="4"/>
      <c r="L7" s="423" t="s">
        <v>838</v>
      </c>
      <c r="M7" s="98"/>
      <c r="N7" s="100">
        <v>5</v>
      </c>
      <c r="O7" s="98"/>
    </row>
    <row r="8" spans="1:18" s="2" customFormat="1" ht="20.149999999999999" customHeight="1" x14ac:dyDescent="0.35">
      <c r="A8" s="833"/>
      <c r="B8" s="13"/>
      <c r="C8" s="4"/>
      <c r="D8" s="4"/>
      <c r="E8" s="4"/>
      <c r="F8" s="4"/>
      <c r="G8" s="4"/>
      <c r="H8" s="4"/>
      <c r="I8" s="8"/>
      <c r="L8" s="423" t="s">
        <v>841</v>
      </c>
      <c r="M8" s="98"/>
      <c r="O8" s="98"/>
    </row>
    <row r="9" spans="1:18" s="2" customFormat="1" ht="20.149999999999999" customHeight="1" x14ac:dyDescent="0.35">
      <c r="A9" s="833"/>
      <c r="B9" s="13"/>
      <c r="C9" s="8" t="s">
        <v>106</v>
      </c>
      <c r="D9" s="7"/>
      <c r="E9" s="834"/>
      <c r="F9" s="834"/>
      <c r="G9" s="834"/>
      <c r="H9" s="834"/>
      <c r="I9" s="8"/>
      <c r="L9" s="423" t="s">
        <v>584</v>
      </c>
      <c r="M9" s="98"/>
      <c r="O9" s="98"/>
    </row>
    <row r="10" spans="1:18" s="2" customFormat="1" ht="20.149999999999999" customHeight="1" x14ac:dyDescent="0.35">
      <c r="A10" s="833"/>
      <c r="B10" s="13"/>
      <c r="C10" s="8" t="s">
        <v>39</v>
      </c>
      <c r="D10" s="4"/>
      <c r="E10" s="834"/>
      <c r="F10" s="834"/>
      <c r="G10" s="834"/>
      <c r="H10" s="834"/>
      <c r="I10" s="4"/>
      <c r="L10" s="98"/>
      <c r="M10" s="98"/>
      <c r="N10" s="100"/>
      <c r="O10" s="98"/>
    </row>
    <row r="11" spans="1:18" s="2" customFormat="1" ht="20.149999999999999" customHeight="1" x14ac:dyDescent="0.35">
      <c r="A11" s="833"/>
      <c r="B11" s="13"/>
      <c r="C11" s="8" t="s">
        <v>79</v>
      </c>
      <c r="D11" s="7"/>
      <c r="E11" s="834"/>
      <c r="F11" s="834"/>
      <c r="G11" s="834"/>
      <c r="H11" s="834"/>
      <c r="I11" s="4"/>
      <c r="L11" s="423" t="s">
        <v>575</v>
      </c>
      <c r="M11" s="98"/>
      <c r="N11" s="100"/>
      <c r="O11" s="98"/>
    </row>
    <row r="12" spans="1:18" s="2" customFormat="1" ht="20.149999999999999" customHeight="1" x14ac:dyDescent="0.35">
      <c r="A12" s="833"/>
      <c r="B12" s="13"/>
      <c r="C12" s="8" t="s">
        <v>77</v>
      </c>
      <c r="D12" s="7"/>
      <c r="E12" s="834"/>
      <c r="F12" s="834"/>
      <c r="G12" s="834"/>
      <c r="H12" s="834"/>
      <c r="I12" s="4"/>
      <c r="L12" s="423" t="s">
        <v>576</v>
      </c>
      <c r="M12" s="423"/>
      <c r="N12" s="100">
        <v>1</v>
      </c>
      <c r="O12" s="423"/>
    </row>
    <row r="13" spans="1:18" s="2" customFormat="1" ht="20.149999999999999" customHeight="1" x14ac:dyDescent="0.35">
      <c r="A13" s="833"/>
      <c r="B13" s="13"/>
      <c r="C13" s="8"/>
      <c r="D13" s="4"/>
      <c r="E13" s="10"/>
      <c r="F13" s="10"/>
      <c r="G13" s="10"/>
      <c r="H13" s="10"/>
      <c r="I13" s="4"/>
      <c r="L13" s="423" t="s">
        <v>577</v>
      </c>
      <c r="M13" s="424"/>
      <c r="N13" s="100">
        <v>0</v>
      </c>
      <c r="O13" s="424"/>
    </row>
    <row r="14" spans="1:18" s="2" customFormat="1" ht="20.149999999999999" customHeight="1" x14ac:dyDescent="0.35">
      <c r="A14" s="833"/>
      <c r="B14" s="13"/>
      <c r="C14" s="8" t="s">
        <v>960</v>
      </c>
      <c r="D14" s="4"/>
      <c r="E14" s="826"/>
      <c r="F14" s="10"/>
      <c r="G14" s="10"/>
      <c r="H14" s="10"/>
      <c r="I14" s="4"/>
      <c r="L14" s="423" t="s">
        <v>578</v>
      </c>
      <c r="M14" s="424"/>
      <c r="N14" s="561">
        <v>-1</v>
      </c>
      <c r="O14" s="424"/>
      <c r="P14" s="400"/>
      <c r="R14" s="400"/>
    </row>
    <row r="15" spans="1:18" s="2" customFormat="1" ht="20.149999999999999" customHeight="1" thickBot="1" x14ac:dyDescent="0.4">
      <c r="A15" s="833"/>
      <c r="B15" s="13"/>
      <c r="C15" s="8"/>
      <c r="D15" s="4"/>
      <c r="E15" s="10"/>
      <c r="F15" s="10"/>
      <c r="G15" s="10"/>
      <c r="H15" s="10"/>
      <c r="I15" s="4"/>
      <c r="L15" s="423" t="s">
        <v>579</v>
      </c>
      <c r="M15" s="424"/>
      <c r="N15" s="561">
        <v>-2</v>
      </c>
      <c r="O15" s="424"/>
      <c r="P15" s="419"/>
      <c r="R15" s="419"/>
    </row>
    <row r="16" spans="1:18" s="2" customFormat="1" ht="20.149999999999999" customHeight="1" thickBot="1" x14ac:dyDescent="0.35">
      <c r="A16" s="833"/>
      <c r="B16" s="13"/>
      <c r="C16" s="14" t="s">
        <v>80</v>
      </c>
      <c r="D16" s="14"/>
      <c r="E16" s="584"/>
      <c r="F16" s="581"/>
      <c r="G16" s="582"/>
      <c r="H16" s="583"/>
      <c r="I16" s="8"/>
      <c r="N16" s="249"/>
      <c r="P16" s="419"/>
      <c r="R16" s="419"/>
    </row>
    <row r="17" spans="1:21" s="2" customFormat="1" ht="20.149999999999999" customHeight="1" x14ac:dyDescent="0.35">
      <c r="A17" s="833"/>
      <c r="B17" s="12"/>
      <c r="C17" s="456" t="str">
        <f>IF(AND(E16&lt;&gt;0,E16&lt;&gt;""),"Achtung: Vorzeichen beachten: Zuschlag: positiv; Abschlag: negativ","")</f>
        <v/>
      </c>
      <c r="D17" s="4"/>
      <c r="E17" s="4"/>
      <c r="F17" s="4"/>
      <c r="G17" s="4"/>
      <c r="H17" s="4"/>
      <c r="I17" s="8"/>
      <c r="N17" s="249"/>
      <c r="P17" s="419"/>
      <c r="R17" s="419"/>
    </row>
    <row r="18" spans="1:21" ht="19.5" customHeight="1" thickBot="1" x14ac:dyDescent="0.4">
      <c r="A18" s="833"/>
      <c r="B18" s="13"/>
      <c r="C18" s="4" t="s">
        <v>588</v>
      </c>
      <c r="D18" s="4"/>
      <c r="E18" s="4" t="s">
        <v>589</v>
      </c>
      <c r="F18" s="4"/>
      <c r="G18" s="4" t="s">
        <v>590</v>
      </c>
      <c r="H18" s="4"/>
      <c r="I18" s="4"/>
      <c r="L18" s="419"/>
      <c r="M18" s="419"/>
      <c r="N18" s="562"/>
      <c r="O18" s="419"/>
      <c r="P18" s="419"/>
      <c r="R18" s="419"/>
    </row>
    <row r="19" spans="1:21" ht="19.5" customHeight="1" thickBot="1" x14ac:dyDescent="0.4">
      <c r="A19" s="833"/>
      <c r="B19" s="12"/>
      <c r="C19" s="844" t="s">
        <v>574</v>
      </c>
      <c r="D19" s="845"/>
      <c r="E19" s="846" t="s">
        <v>584</v>
      </c>
      <c r="F19" s="847"/>
      <c r="G19" s="846" t="s">
        <v>578</v>
      </c>
      <c r="H19" s="847"/>
      <c r="I19" s="4"/>
    </row>
    <row r="20" spans="1:21" ht="19.5" customHeight="1" x14ac:dyDescent="0.35">
      <c r="A20" s="833"/>
      <c r="B20" s="12"/>
      <c r="C20" s="4"/>
      <c r="D20" s="4"/>
      <c r="E20" s="4"/>
      <c r="F20" s="4"/>
      <c r="G20" s="4"/>
      <c r="H20" s="4"/>
      <c r="I20" s="4"/>
    </row>
    <row r="21" spans="1:21" ht="15" customHeight="1" x14ac:dyDescent="0.35">
      <c r="A21" s="830" t="s">
        <v>66</v>
      </c>
    </row>
    <row r="22" spans="1:21" ht="15" customHeight="1" x14ac:dyDescent="0.35">
      <c r="A22" s="830"/>
      <c r="B22" s="831" t="str">
        <f>CONCATENATE(C2, ": ", E2)</f>
        <v xml:space="preserve">Projekt: </v>
      </c>
      <c r="C22" s="831"/>
      <c r="D22" s="831"/>
      <c r="E22" s="831"/>
      <c r="F22" s="831"/>
      <c r="G22" s="831"/>
      <c r="H22" s="831"/>
      <c r="I22" s="831"/>
    </row>
    <row r="23" spans="1:21" x14ac:dyDescent="0.35">
      <c r="A23" s="830"/>
      <c r="B23" s="832" t="str">
        <f>CONCATENATE(C4, ": ", E4, IF(E5&lt;&gt;""," - ",""), IF(E5&lt;&gt;"",E5,""), IF(E6&lt;&gt;""," - GZ. ",""), IF(E6&lt;&gt;"",E6,""),)</f>
        <v xml:space="preserve">Auftraggeber: </v>
      </c>
      <c r="C23" s="832"/>
      <c r="D23" s="832"/>
      <c r="E23" s="832"/>
      <c r="F23" s="832"/>
      <c r="G23" s="832"/>
      <c r="H23" s="832"/>
      <c r="I23" s="832"/>
    </row>
    <row r="24" spans="1:21" x14ac:dyDescent="0.35">
      <c r="A24" s="830"/>
      <c r="B24" s="832" t="str">
        <f>CONCATENATE(C9, ": ",E9,  IF(C10&lt;&gt;""," - ",""), IF(C10&lt;&gt;"",E10,""), IF(C11&lt;&gt;""," - GZ. ",""), IF(C11&lt;&gt;"",E11,""), )</f>
        <v xml:space="preserve">Bieter:  -  - GZ. </v>
      </c>
      <c r="C24" s="832"/>
      <c r="D24" s="832"/>
      <c r="E24" s="832"/>
      <c r="F24" s="832"/>
      <c r="G24" s="832"/>
      <c r="H24" s="832"/>
      <c r="I24" s="832"/>
      <c r="L24" s="93"/>
      <c r="M24" s="93"/>
      <c r="N24" s="93"/>
      <c r="O24" s="94"/>
      <c r="P24" s="94"/>
      <c r="Q24" s="94"/>
      <c r="R24" s="94"/>
      <c r="S24" s="422"/>
    </row>
    <row r="25" spans="1:21" x14ac:dyDescent="0.35">
      <c r="A25" s="830"/>
      <c r="B25" s="832" t="s">
        <v>41</v>
      </c>
      <c r="C25" s="832"/>
      <c r="D25" s="832"/>
      <c r="E25" s="832"/>
      <c r="F25" s="832"/>
      <c r="G25" s="832"/>
      <c r="H25" s="832"/>
      <c r="I25" s="832"/>
      <c r="L25" s="93"/>
      <c r="M25" s="93"/>
      <c r="N25" s="93"/>
      <c r="O25" s="94"/>
      <c r="P25" s="94"/>
      <c r="Q25" s="94"/>
      <c r="R25" s="94"/>
      <c r="S25" s="422"/>
    </row>
    <row r="26" spans="1:21" x14ac:dyDescent="0.35">
      <c r="A26" s="830"/>
    </row>
    <row r="27" spans="1:21" s="9" customFormat="1" ht="23.25" customHeight="1" x14ac:dyDescent="0.35">
      <c r="A27" s="830"/>
      <c r="B27" s="843" t="s">
        <v>42</v>
      </c>
      <c r="C27" s="843"/>
      <c r="D27" s="843"/>
      <c r="E27" s="843"/>
      <c r="F27" s="843"/>
      <c r="G27" s="843"/>
      <c r="H27" s="843"/>
      <c r="I27" s="843"/>
      <c r="N27" s="563"/>
    </row>
    <row r="28" spans="1:21" ht="15" thickBot="1" x14ac:dyDescent="0.4">
      <c r="A28" s="830"/>
    </row>
    <row r="29" spans="1:21" x14ac:dyDescent="0.35">
      <c r="A29" s="830"/>
      <c r="L29" s="551" t="s">
        <v>839</v>
      </c>
      <c r="M29" s="552" t="s">
        <v>583</v>
      </c>
      <c r="N29" s="486" t="s">
        <v>581</v>
      </c>
      <c r="O29" s="486"/>
      <c r="P29" s="487" t="s">
        <v>586</v>
      </c>
      <c r="Q29" s="487"/>
      <c r="R29" s="487"/>
      <c r="S29" s="487"/>
      <c r="T29" s="487" t="s">
        <v>585</v>
      </c>
      <c r="U29" s="488" t="s">
        <v>837</v>
      </c>
    </row>
    <row r="30" spans="1:21" x14ac:dyDescent="0.35">
      <c r="A30" s="830"/>
      <c r="B30" s="578" t="s">
        <v>594</v>
      </c>
      <c r="C30" s="78" t="s">
        <v>586</v>
      </c>
      <c r="D30" s="78"/>
      <c r="E30" s="78"/>
      <c r="F30" s="78"/>
      <c r="G30" s="147" t="s">
        <v>587</v>
      </c>
      <c r="H30" s="147" t="str">
        <f>IF(G$19&lt;&gt;L$11,"gerundet [€]","")</f>
        <v>gerundet [€]</v>
      </c>
      <c r="I30" s="147"/>
      <c r="L30" s="553" t="s">
        <v>840</v>
      </c>
      <c r="M30" s="554" t="s">
        <v>582</v>
      </c>
      <c r="N30" s="484" t="s">
        <v>580</v>
      </c>
      <c r="O30" s="484"/>
      <c r="P30" s="485"/>
      <c r="Q30" s="485"/>
      <c r="R30" s="485"/>
      <c r="S30" s="485"/>
      <c r="T30" s="485"/>
      <c r="U30" s="489" t="s">
        <v>836</v>
      </c>
    </row>
    <row r="31" spans="1:21" ht="14.25" customHeight="1" x14ac:dyDescent="0.35">
      <c r="A31" s="830"/>
      <c r="L31" s="555"/>
      <c r="M31" s="556" t="s">
        <v>622</v>
      </c>
      <c r="N31" s="484"/>
      <c r="O31" s="484"/>
      <c r="P31" s="485"/>
      <c r="Q31" s="485"/>
      <c r="R31" s="485"/>
      <c r="S31" s="485"/>
      <c r="T31" s="485"/>
      <c r="U31" s="489"/>
    </row>
    <row r="32" spans="1:21" ht="14.25" customHeight="1" x14ac:dyDescent="0.35">
      <c r="A32" s="830"/>
      <c r="B32" s="28" t="str">
        <f t="shared" ref="B32:B62" ca="1" si="0">IF(C$19=L$7,"",IF(CELL("Zeile",B32)-CELL("Zeile",B$31)&lt;=maxzeile,CONCATENATE(VLOOKUP(CELL("Zeile",B32)-CELL("Zeile",B$31),N$32:T$65,2,FALSE),"  "),""))</f>
        <v/>
      </c>
      <c r="C32" s="1" t="str">
        <f t="shared" ref="C32:C62" ca="1" si="1">IF(AND(B32&lt;&gt;"",C$19=L$7),VLOOKUP(B32,L$32:U$65,5,FALSE),IF(AND(B32&lt;&gt;"",CELL("Zeile",B32)-CELL("Zeile",B$31)&lt;=maxzeile),VLOOKUP(CELL("Zeile",B32)-CELL("Zeile",B$31),N$32:U$65,3,FALSE),""))</f>
        <v/>
      </c>
      <c r="G32" s="420" t="str">
        <f t="shared" ref="G32:G62" ca="1" si="2">IF(AND(B32&lt;&gt;"",C$19=L$7),VLOOKUP(B32,L$32:U$65,9,FALSE),IF(AND(B32&lt;&gt;"",CELL("Zeile",B32)-CELL("Zeile",B$31)&lt;=maxzeile),VLOOKUP(CELL("Zeile",B32)-CELL("Zeile",B$31),N$32:U$65,7,FALSE),""))</f>
        <v/>
      </c>
      <c r="H32" s="420" t="str">
        <f t="shared" ref="H32:H62" ca="1" si="3">IF(AND(B32&lt;&gt;"",C$19=L$7),IF(G$19&lt;&gt;L$11,ROUND(VLOOKUP(B32,L$32:U$65,9,FALSE),VLOOKUP(G$19,L$12:N$15,3,FALSE)),""),IF(AND(B32&lt;&gt;"",CELL("Zeile",B32)-CELL("Zeile",B$31)&lt;=maxzeile),IF(G$19&lt;&gt;L$11,ROUND(VLOOKUP(CELL("Zeile",B32)-CELL("Zeile",B$31),N$32:U$65,7,FALSE),VLOOKUP(G$19,L$12:N$15,3,FALSE)),""),""))</f>
        <v/>
      </c>
      <c r="L32" s="557"/>
      <c r="M32" s="554">
        <f>IF(SUM('3.1'!N$3,'3.1'!F81)&gt;0,1,0)</f>
        <v>0</v>
      </c>
      <c r="N32" s="484">
        <f t="shared" ref="N32" ca="1" si="4">IF(E$19=L$8,CELL("Zeile",M32)-CELL("Zeile",M$31),M32+INDIRECT("N"&amp;CELL("Zeile",M32)-1))</f>
        <v>0</v>
      </c>
      <c r="O32" s="484" t="str">
        <f ca="1">IF(C$19=L$5,N32,MID(INDIRECT("'3.1'!C$"&amp;'3.1'!N$1+2),12,SEARCH(",",INDIRECT("'3.1'!C$"&amp;'3.1'!N$1+2),12)-12))</f>
        <v xml:space="preserve"> 3.1</v>
      </c>
      <c r="P32" s="485" t="str">
        <f ca="1">INDIRECT("'3.1'!B$"&amp;'3.1'!N$1)</f>
        <v>Katastervermessung</v>
      </c>
      <c r="Q32" s="485"/>
      <c r="R32" s="485"/>
      <c r="S32" s="485"/>
      <c r="T32" s="549">
        <f ca="1">INDIRECT("'3.1'!G$"&amp;'3.1'!N$2)</f>
        <v>0</v>
      </c>
      <c r="U32" s="490" t="str">
        <f ca="1">INDIRECT("'3.1'!F$"&amp;'3.1'!N$2+2)</f>
        <v/>
      </c>
    </row>
    <row r="33" spans="1:21" ht="14.25" customHeight="1" x14ac:dyDescent="0.35">
      <c r="A33" s="830"/>
      <c r="B33" s="28" t="str">
        <f t="shared" ca="1" si="0"/>
        <v/>
      </c>
      <c r="C33" s="1" t="str">
        <f t="shared" ca="1" si="1"/>
        <v/>
      </c>
      <c r="G33" s="420" t="str">
        <f t="shared" ca="1" si="2"/>
        <v/>
      </c>
      <c r="H33" s="420" t="str">
        <f t="shared" ca="1" si="3"/>
        <v/>
      </c>
      <c r="L33" s="557"/>
      <c r="M33" s="554">
        <f>IF('4.1.1'!N$3&gt;0,1,0)</f>
        <v>0</v>
      </c>
      <c r="N33" s="484">
        <f t="shared" ref="N33:N41" ca="1" si="5">IF(E$19=L$8,CELL("Zeile",M33)-CELL("Zeile",M$31),M33+INDIRECT("N"&amp;CELL("Zeile",M33)-1))</f>
        <v>0</v>
      </c>
      <c r="O33" s="484" t="str">
        <f ca="1">IF(C$19=L$5,N33,MID(INDIRECT("'4.1.1'!C$"&amp;'4.1.1'!N$1+2),12,SEARCH(",",INDIRECT("'4.1.1'!C$"&amp;'4.1.1'!N$1+2),12)-12))</f>
        <v xml:space="preserve"> 4.1.1</v>
      </c>
      <c r="P33" s="485" t="str">
        <f ca="1">INDIRECT("'4.1.1'!B$"&amp;'4.1.1'!N$1)</f>
        <v>Ingenieurgeodätische Netzmessung - tachymetrisch</v>
      </c>
      <c r="Q33" s="485"/>
      <c r="R33" s="485"/>
      <c r="S33" s="485"/>
      <c r="T33" s="549">
        <f ca="1">INDIRECT("'4.1.1'!G$"&amp;'4.1.1'!N$2)</f>
        <v>0</v>
      </c>
      <c r="U33" s="490"/>
    </row>
    <row r="34" spans="1:21" ht="14.25" customHeight="1" x14ac:dyDescent="0.35">
      <c r="A34" s="830"/>
      <c r="B34" s="28" t="str">
        <f t="shared" ca="1" si="0"/>
        <v/>
      </c>
      <c r="C34" s="1" t="str">
        <f t="shared" ca="1" si="1"/>
        <v/>
      </c>
      <c r="G34" s="420" t="str">
        <f t="shared" ca="1" si="2"/>
        <v/>
      </c>
      <c r="H34" s="420" t="str">
        <f t="shared" ca="1" si="3"/>
        <v/>
      </c>
      <c r="L34" s="557"/>
      <c r="M34" s="554">
        <f>IF('4.1.3'!N$3&gt;0,1,0)</f>
        <v>0</v>
      </c>
      <c r="N34" s="484">
        <f t="shared" ca="1" si="5"/>
        <v>0</v>
      </c>
      <c r="O34" s="484" t="str">
        <f ca="1">IF(C$19=L$5,N34,MID(INDIRECT("'4.1.3'!C$"&amp;'4.1.3'!N$1+2),12,SEARCH(",",INDIRECT("'4.1.3'!C$"&amp;'4.1.3'!N$1+2),12)-12))</f>
        <v xml:space="preserve"> 4.1.3</v>
      </c>
      <c r="P34" s="485" t="str">
        <f ca="1">INDIRECT("'4.1.3'!B$"&amp;'4.1.3'!N$1)</f>
        <v>Polygonzug</v>
      </c>
      <c r="Q34" s="485"/>
      <c r="R34" s="485"/>
      <c r="S34" s="485"/>
      <c r="T34" s="549">
        <f ca="1">INDIRECT("'4.1.3'!G$"&amp;'4.1.3'!N$2)</f>
        <v>0</v>
      </c>
      <c r="U34" s="490"/>
    </row>
    <row r="35" spans="1:21" ht="14.25" customHeight="1" x14ac:dyDescent="0.35">
      <c r="A35" s="830"/>
      <c r="B35" s="28" t="str">
        <f t="shared" ca="1" si="0"/>
        <v/>
      </c>
      <c r="C35" s="1" t="str">
        <f t="shared" ca="1" si="1"/>
        <v/>
      </c>
      <c r="G35" s="420" t="str">
        <f t="shared" ca="1" si="2"/>
        <v/>
      </c>
      <c r="H35" s="420" t="str">
        <f t="shared" ca="1" si="3"/>
        <v/>
      </c>
      <c r="L35" s="557"/>
      <c r="M35" s="554">
        <f>IF('4.2'!N$3&gt;0,1,0)</f>
        <v>0</v>
      </c>
      <c r="N35" s="484">
        <f t="shared" ca="1" si="5"/>
        <v>0</v>
      </c>
      <c r="O35" s="484" t="str">
        <f ca="1">IF(C$19=L$5,N35,MID(INDIRECT("'4.2'!C$"&amp;'4.2'!N$1+2),12,SEARCH(",",INDIRECT("'4.2'!C$"&amp;'4.2'!N$1+2),12)-12))</f>
        <v xml:space="preserve"> 4.2</v>
      </c>
      <c r="P35" s="485" t="str">
        <f ca="1">INDIRECT("'4.2'!B$"&amp;'4.2'!N$1)</f>
        <v>Einzelpunkteinschaltung</v>
      </c>
      <c r="Q35" s="485"/>
      <c r="R35" s="485"/>
      <c r="S35" s="485"/>
      <c r="T35" s="549">
        <f ca="1">INDIRECT("'4.2'!G$"&amp;'4.2'!N$2)</f>
        <v>0</v>
      </c>
      <c r="U35" s="490"/>
    </row>
    <row r="36" spans="1:21" ht="14.25" customHeight="1" x14ac:dyDescent="0.35">
      <c r="A36" s="830"/>
      <c r="B36" s="28" t="str">
        <f t="shared" ca="1" si="0"/>
        <v/>
      </c>
      <c r="C36" s="1" t="str">
        <f t="shared" ca="1" si="1"/>
        <v/>
      </c>
      <c r="G36" s="420" t="str">
        <f t="shared" ca="1" si="2"/>
        <v/>
      </c>
      <c r="H36" s="420" t="str">
        <f t="shared" ca="1" si="3"/>
        <v/>
      </c>
      <c r="L36" s="557"/>
      <c r="M36" s="554">
        <f>IF('4.3'!N$3&gt;0,1,0)</f>
        <v>0</v>
      </c>
      <c r="N36" s="484">
        <f t="shared" ca="1" si="5"/>
        <v>0</v>
      </c>
      <c r="O36" s="484" t="str">
        <f ca="1">IF(C$19=L$5,N36,MID(INDIRECT("'4.3'!C$"&amp;'4.3'!N$1+2),12,SEARCH(",",INDIRECT("'4.3'!C$"&amp;'4.3'!N$1+2),12)-12))</f>
        <v xml:space="preserve"> 4.3</v>
      </c>
      <c r="P36" s="485" t="str">
        <f ca="1">INDIRECT("'4.3'!B$"&amp;'4.3'!N$1)</f>
        <v>Kreisel-Stütz-Azimut</v>
      </c>
      <c r="Q36" s="485"/>
      <c r="R36" s="485"/>
      <c r="S36" s="485"/>
      <c r="T36" s="549">
        <f ca="1">INDIRECT("'4.3'!G$"&amp;'4.3'!N$2)</f>
        <v>0</v>
      </c>
      <c r="U36" s="490"/>
    </row>
    <row r="37" spans="1:21" ht="14.25" customHeight="1" x14ac:dyDescent="0.35">
      <c r="A37" s="830"/>
      <c r="B37" s="28" t="str">
        <f t="shared" ca="1" si="0"/>
        <v/>
      </c>
      <c r="C37" s="1" t="str">
        <f t="shared" ca="1" si="1"/>
        <v/>
      </c>
      <c r="G37" s="420" t="str">
        <f t="shared" ca="1" si="2"/>
        <v/>
      </c>
      <c r="H37" s="420" t="str">
        <f t="shared" ca="1" si="3"/>
        <v/>
      </c>
      <c r="L37" s="557"/>
      <c r="M37" s="554">
        <f>IF('4.4.2'!N$3&gt;0,1,0)</f>
        <v>0</v>
      </c>
      <c r="N37" s="484">
        <f t="shared" ca="1" si="5"/>
        <v>0</v>
      </c>
      <c r="O37" s="484" t="str">
        <f ca="1">IF(C$19=L$5,N37,MID(INDIRECT("'4.4.2'!C$"&amp;'4.4.2'!N$1+2),12,SEARCH(",",INDIRECT("'4.4.2'!C$"&amp;'4.4.2'!N$1+2),12)-12))</f>
        <v xml:space="preserve"> 4.4.2</v>
      </c>
      <c r="P37" s="485" t="str">
        <f ca="1">INDIRECT("'4.4.2'!B$"&amp;'4.4.2'!N$1)</f>
        <v>Setzungsmessung - Nullmessung</v>
      </c>
      <c r="Q37" s="485"/>
      <c r="R37" s="485"/>
      <c r="S37" s="485"/>
      <c r="T37" s="549">
        <f ca="1">INDIRECT("'4.4.2'!G$"&amp;'4.4.2'!N$2)</f>
        <v>0</v>
      </c>
      <c r="U37" s="490"/>
    </row>
    <row r="38" spans="1:21" ht="14.25" customHeight="1" x14ac:dyDescent="0.35">
      <c r="A38" s="830"/>
      <c r="B38" s="28" t="str">
        <f t="shared" ca="1" si="0"/>
        <v/>
      </c>
      <c r="C38" s="1" t="str">
        <f t="shared" ca="1" si="1"/>
        <v/>
      </c>
      <c r="G38" s="420" t="str">
        <f t="shared" ca="1" si="2"/>
        <v/>
      </c>
      <c r="H38" s="420" t="str">
        <f t="shared" ca="1" si="3"/>
        <v/>
      </c>
      <c r="L38" s="557"/>
      <c r="M38" s="554">
        <f>IF('4.4.x'!N$3&gt;0,1,0)</f>
        <v>0</v>
      </c>
      <c r="N38" s="484">
        <f t="shared" ca="1" si="5"/>
        <v>0</v>
      </c>
      <c r="O38" s="484" t="str">
        <f ca="1">IF(C$19=L$5,N38,MID(INDIRECT("'4.4.x'!C$"&amp;'4.4.x'!N$1+2),12,SEARCH(",",INDIRECT("'4.4.x'!C$"&amp;'4.4.x'!N$1+2),12)-12))</f>
        <v xml:space="preserve"> 4.4.1</v>
      </c>
      <c r="P38" s="485" t="str">
        <f ca="1">INDIRECT("'4.4.x'!B$"&amp;'4.4.x'!N$1)</f>
        <v>Detailpunkte</v>
      </c>
      <c r="Q38" s="485"/>
      <c r="R38" s="485"/>
      <c r="S38" s="485"/>
      <c r="T38" s="549">
        <f ca="1">INDIRECT("'4.4.x'!G$"&amp;'4.4.x'!N$2)</f>
        <v>0</v>
      </c>
      <c r="U38" s="490"/>
    </row>
    <row r="39" spans="1:21" ht="14.25" customHeight="1" x14ac:dyDescent="0.35">
      <c r="A39" s="830"/>
      <c r="B39" s="28" t="str">
        <f t="shared" ca="1" si="0"/>
        <v/>
      </c>
      <c r="C39" s="1" t="str">
        <f t="shared" ca="1" si="1"/>
        <v/>
      </c>
      <c r="G39" s="420" t="str">
        <f t="shared" ca="1" si="2"/>
        <v/>
      </c>
      <c r="H39" s="420" t="str">
        <f t="shared" ca="1" si="3"/>
        <v/>
      </c>
      <c r="L39" s="557"/>
      <c r="M39" s="554">
        <f>IF('4.5'!N$3&gt;0,1,0)</f>
        <v>0</v>
      </c>
      <c r="N39" s="484">
        <f t="shared" ca="1" si="5"/>
        <v>0</v>
      </c>
      <c r="O39" s="484" t="str">
        <f ca="1">IF(C$19=L$5,N39,MID(INDIRECT("'4.5'!C$"&amp;'4.5'!N$1+2),12,SEARCH(",",INDIRECT("'4.5'!C$"&amp;'4.5'!N$1+2),12)-12))</f>
        <v xml:space="preserve"> 4.5</v>
      </c>
      <c r="P39" s="485" t="str">
        <f ca="1">INDIRECT("'4.5'!B$"&amp;'4.5'!N$1)</f>
        <v>Punktbestimmung durch kinematische GNSS-Messung</v>
      </c>
      <c r="Q39" s="485"/>
      <c r="R39" s="485"/>
      <c r="S39" s="485"/>
      <c r="T39" s="549">
        <f ca="1">INDIRECT("'4.5'!G$"&amp;'4.5'!N$2)</f>
        <v>0</v>
      </c>
      <c r="U39" s="490"/>
    </row>
    <row r="40" spans="1:21" ht="14.25" customHeight="1" x14ac:dyDescent="0.35">
      <c r="A40" s="830"/>
      <c r="B40" s="28" t="str">
        <f t="shared" ca="1" si="0"/>
        <v/>
      </c>
      <c r="C40" s="1" t="str">
        <f t="shared" ca="1" si="1"/>
        <v/>
      </c>
      <c r="G40" s="420" t="str">
        <f t="shared" ca="1" si="2"/>
        <v/>
      </c>
      <c r="H40" s="420" t="str">
        <f t="shared" ca="1" si="3"/>
        <v/>
      </c>
      <c r="L40" s="557"/>
      <c r="M40" s="554">
        <f>IF('4.6'!N$3&gt;0,1,0)</f>
        <v>0</v>
      </c>
      <c r="N40" s="484">
        <f t="shared" ca="1" si="5"/>
        <v>0</v>
      </c>
      <c r="O40" s="484" t="str">
        <f ca="1">IF(C$19=L$5,N40,MID(INDIRECT("'4.6'!C$"&amp;'4.6'!N$1+2),12,SEARCH(",",INDIRECT("'4.6'!C$"&amp;'4.6'!N$1+2),12)-12))</f>
        <v xml:space="preserve"> 4.6</v>
      </c>
      <c r="P40" s="485" t="str">
        <f ca="1">INDIRECT("'4.6'!B$"&amp;'4.6'!N$1)</f>
        <v>Nivellement</v>
      </c>
      <c r="Q40" s="485"/>
      <c r="R40" s="485"/>
      <c r="S40" s="485"/>
      <c r="T40" s="549">
        <f ca="1">INDIRECT("'4.6'!G$"&amp;'4.6'!N$2)</f>
        <v>0</v>
      </c>
      <c r="U40" s="490"/>
    </row>
    <row r="41" spans="1:21" ht="14.25" customHeight="1" x14ac:dyDescent="0.35">
      <c r="A41" s="830"/>
      <c r="B41" s="28" t="str">
        <f t="shared" ca="1" si="0"/>
        <v/>
      </c>
      <c r="C41" s="1" t="str">
        <f t="shared" ca="1" si="1"/>
        <v/>
      </c>
      <c r="G41" s="420" t="str">
        <f t="shared" ca="1" si="2"/>
        <v/>
      </c>
      <c r="H41" s="420" t="str">
        <f t="shared" ca="1" si="3"/>
        <v/>
      </c>
      <c r="L41" s="557"/>
      <c r="M41" s="554">
        <f>IF('4.7.1'!N$3&gt;0,1,0)</f>
        <v>0</v>
      </c>
      <c r="N41" s="484">
        <f t="shared" ca="1" si="5"/>
        <v>0</v>
      </c>
      <c r="O41" s="484" t="str">
        <f ca="1">IF(C$19=L$5,N41,MID(INDIRECT("'4.7.1'!C$"&amp;'4.7.1'!N$1+2),12,SEARCH(",",INDIRECT("'4.7.1'!C$"&amp;'4.7.1'!N$1+2),12)-12))</f>
        <v xml:space="preserve"> 4.7.1</v>
      </c>
      <c r="P41" s="485" t="str">
        <f ca="1">INDIRECT("'4.7.1'!B$"&amp;'4.7.1'!N$1)</f>
        <v>Lage- und Höhenplan</v>
      </c>
      <c r="Q41" s="485"/>
      <c r="R41" s="485"/>
      <c r="S41" s="485"/>
      <c r="T41" s="549">
        <f ca="1">INDIRECT("'4.7.1'!G$"&amp;'4.7.1'!N$2)</f>
        <v>0</v>
      </c>
      <c r="U41" s="490"/>
    </row>
    <row r="42" spans="1:21" ht="14.25" customHeight="1" x14ac:dyDescent="0.35">
      <c r="A42" s="830"/>
      <c r="B42" s="28" t="str">
        <f t="shared" ca="1" si="0"/>
        <v/>
      </c>
      <c r="C42" s="1" t="str">
        <f t="shared" ca="1" si="1"/>
        <v/>
      </c>
      <c r="G42" s="420" t="str">
        <f t="shared" ca="1" si="2"/>
        <v/>
      </c>
      <c r="H42" s="420" t="str">
        <f t="shared" ca="1" si="3"/>
        <v/>
      </c>
      <c r="L42" s="557"/>
      <c r="M42" s="554">
        <f>IF('4.7.2'!N$3&gt;0,1,0)</f>
        <v>0</v>
      </c>
      <c r="N42" s="484">
        <f t="shared" ref="N42:N63" ca="1" si="6">IF(E$19=L$8,CELL("Zeile",M42)-CELL("Zeile",M$31),M42+INDIRECT("N"&amp;CELL("Zeile",M42)-1))</f>
        <v>0</v>
      </c>
      <c r="O42" s="484" t="str">
        <f ca="1">IF(C$19=L$5,N42,MID(INDIRECT("'4.7.2'!C$"&amp;'4.7.2'!N$1+2),12,SEARCH(",",INDIRECT("'4.7.2'!C$"&amp;'4.7.2'!N$1+2),12)-12))</f>
        <v xml:space="preserve"> 4.7.2</v>
      </c>
      <c r="P42" s="485" t="str">
        <f ca="1">INDIRECT("'4.7.2'!B$"&amp;'4.7.2'!N$1)</f>
        <v xml:space="preserve">Erstellen und verfeinern eines DGM </v>
      </c>
      <c r="Q42" s="485"/>
      <c r="R42" s="485"/>
      <c r="S42" s="485"/>
      <c r="T42" s="549">
        <f ca="1">INDIRECT("'4.7.2'!G$"&amp;'4.7.2'!N$2)</f>
        <v>0</v>
      </c>
      <c r="U42" s="490"/>
    </row>
    <row r="43" spans="1:21" ht="14.25" customHeight="1" x14ac:dyDescent="0.35">
      <c r="A43" s="830"/>
      <c r="B43" s="28" t="str">
        <f t="shared" ca="1" si="0"/>
        <v/>
      </c>
      <c r="C43" s="1" t="str">
        <f t="shared" ca="1" si="1"/>
        <v/>
      </c>
      <c r="G43" s="420" t="str">
        <f t="shared" ca="1" si="2"/>
        <v/>
      </c>
      <c r="H43" s="420" t="str">
        <f t="shared" ca="1" si="3"/>
        <v/>
      </c>
      <c r="L43" s="557"/>
      <c r="M43" s="554">
        <f>IF('4.7.3'!N$3&gt;0,1,0)</f>
        <v>0</v>
      </c>
      <c r="N43" s="484">
        <f t="shared" ca="1" si="6"/>
        <v>0</v>
      </c>
      <c r="O43" s="484" t="str">
        <f ca="1">IF(C$19=L$5,N43,MID(INDIRECT("'4.7.3'!C$"&amp;'4.7.3'!N$1+2),12,SEARCH(",",INDIRECT("'4.7.3'!C$"&amp;'4.7.3'!N$1+2),12)-12))</f>
        <v xml:space="preserve"> 4.7.3</v>
      </c>
      <c r="P43" s="485" t="str">
        <f ca="1">INDIRECT("'4.7.3'!B$"&amp;'4.7.3'!N$1)</f>
        <v>3d-Planerstellung auf Basis eines 2,5d-LH-Planes</v>
      </c>
      <c r="Q43" s="485"/>
      <c r="R43" s="485"/>
      <c r="S43" s="485"/>
      <c r="T43" s="549">
        <f ca="1">INDIRECT("'4.7.3'!G$"&amp;'4.7.3'!N$2)</f>
        <v>0</v>
      </c>
      <c r="U43" s="490"/>
    </row>
    <row r="44" spans="1:21" ht="14.25" customHeight="1" x14ac:dyDescent="0.35">
      <c r="A44" s="830"/>
      <c r="B44" s="28" t="str">
        <f t="shared" ca="1" si="0"/>
        <v/>
      </c>
      <c r="C44" s="1" t="str">
        <f t="shared" ca="1" si="1"/>
        <v/>
      </c>
      <c r="G44" s="420" t="str">
        <f t="shared" ca="1" si="2"/>
        <v/>
      </c>
      <c r="H44" s="420" t="str">
        <f t="shared" ca="1" si="3"/>
        <v/>
      </c>
      <c r="L44" s="557"/>
      <c r="M44" s="554">
        <f>IF('4.7.4'!N$3&gt;0,1,0)</f>
        <v>0</v>
      </c>
      <c r="N44" s="484">
        <f t="shared" ca="1" si="6"/>
        <v>0</v>
      </c>
      <c r="O44" s="484" t="str">
        <f ca="1">IF(C$19=L$5,N44,MID(INDIRECT("'4.7.4'!C$"&amp;'4.7.4'!N$1+2),12,SEARCH(",",INDIRECT("'4.7.4'!C$"&amp;'4.7.4'!N$1+2),12)-12))</f>
        <v xml:space="preserve"> 4.7.4</v>
      </c>
      <c r="P44" s="485" t="str">
        <f ca="1">INDIRECT("'4.7.4'!B$"&amp;'4.7.4'!N$1)</f>
        <v>Umbildung einer Geländeaufnahme durch Maßstabsänderung</v>
      </c>
      <c r="Q44" s="485"/>
      <c r="R44" s="485"/>
      <c r="S44" s="485"/>
      <c r="T44" s="549">
        <f ca="1">INDIRECT("'4.7.4'!G$"&amp;'4.7.4'!N$2)</f>
        <v>0</v>
      </c>
      <c r="U44" s="490"/>
    </row>
    <row r="45" spans="1:21" ht="14.25" customHeight="1" x14ac:dyDescent="0.35">
      <c r="A45" s="830"/>
      <c r="B45" s="28" t="str">
        <f t="shared" ca="1" si="0"/>
        <v/>
      </c>
      <c r="C45" s="1" t="str">
        <f t="shared" ca="1" si="1"/>
        <v/>
      </c>
      <c r="G45" s="420" t="str">
        <f t="shared" ca="1" si="2"/>
        <v/>
      </c>
      <c r="H45" s="420" t="str">
        <f t="shared" ca="1" si="3"/>
        <v/>
      </c>
      <c r="L45" s="557"/>
      <c r="M45" s="554">
        <f>IF('4.7.5'!N$3&gt;0,1,0)</f>
        <v>0</v>
      </c>
      <c r="N45" s="484">
        <f t="shared" ca="1" si="6"/>
        <v>0</v>
      </c>
      <c r="O45" s="484" t="str">
        <f ca="1">IF(C$19=L$5,N45,MID(INDIRECT("'4.7.5'!C$"&amp;'4.7.5'!N$1+2),12,SEARCH(",",INDIRECT("'4.7.5'!C$"&amp;'4.7.5'!N$1+2),12)-12))</f>
        <v xml:space="preserve"> 4.7.5</v>
      </c>
      <c r="P45" s="485" t="str">
        <f ca="1">INDIRECT("'4.7.5'!B$"&amp;'4.7.5'!N$1)</f>
        <v>Umbildung einer Geländeaufnahme (analog auf digital)</v>
      </c>
      <c r="Q45" s="485"/>
      <c r="R45" s="485"/>
      <c r="S45" s="485"/>
      <c r="T45" s="549">
        <f ca="1">INDIRECT("'4.7.5'!G$"&amp;'4.7.5'!N$2)</f>
        <v>0</v>
      </c>
      <c r="U45" s="490"/>
    </row>
    <row r="46" spans="1:21" ht="14.25" customHeight="1" x14ac:dyDescent="0.35">
      <c r="A46" s="830"/>
      <c r="B46" s="28" t="str">
        <f t="shared" ca="1" si="0"/>
        <v/>
      </c>
      <c r="C46" s="1" t="str">
        <f t="shared" ca="1" si="1"/>
        <v/>
      </c>
      <c r="G46" s="420" t="str">
        <f t="shared" ca="1" si="2"/>
        <v/>
      </c>
      <c r="H46" s="420" t="str">
        <f t="shared" ca="1" si="3"/>
        <v/>
      </c>
      <c r="L46" s="557"/>
      <c r="M46" s="554">
        <f>IF('4.8'!N$3&gt;0,1,0)</f>
        <v>0</v>
      </c>
      <c r="N46" s="484">
        <f t="shared" ca="1" si="6"/>
        <v>0</v>
      </c>
      <c r="O46" s="484" t="str">
        <f ca="1">IF(C$19=L$5,N46,MID(INDIRECT("'4.8'!C$"&amp;'4.8'!N$1+2),12,SEARCH(",",INDIRECT("'4.8'!C$"&amp;'4.8'!N$1+2),12)-12))</f>
        <v xml:space="preserve"> 4.8</v>
      </c>
      <c r="P46" s="485" t="str">
        <f ca="1">INDIRECT("'4.8'!B$"&amp;'4.8'!N$1)</f>
        <v>Nutzflächenermittlung</v>
      </c>
      <c r="Q46" s="485"/>
      <c r="R46" s="485"/>
      <c r="S46" s="485"/>
      <c r="T46" s="549">
        <f ca="1">INDIRECT("'4.8'!G$"&amp;'4.8'!N$2)</f>
        <v>0</v>
      </c>
      <c r="U46" s="490"/>
    </row>
    <row r="47" spans="1:21" ht="14.25" customHeight="1" x14ac:dyDescent="0.35">
      <c r="A47" s="830"/>
      <c r="B47" s="28" t="str">
        <f t="shared" ca="1" si="0"/>
        <v/>
      </c>
      <c r="C47" s="1" t="str">
        <f t="shared" ca="1" si="1"/>
        <v/>
      </c>
      <c r="G47" s="420" t="str">
        <f t="shared" ca="1" si="2"/>
        <v/>
      </c>
      <c r="H47" s="420" t="str">
        <f t="shared" ca="1" si="3"/>
        <v/>
      </c>
      <c r="L47" s="557"/>
      <c r="M47" s="554">
        <f>IF('4.9'!N$3&gt;0,1,0)</f>
        <v>0</v>
      </c>
      <c r="N47" s="484">
        <f t="shared" ca="1" si="6"/>
        <v>0</v>
      </c>
      <c r="O47" s="484" t="str">
        <f ca="1">IF(C$19=L$5,N47,MID(INDIRECT("'4.9'!C$"&amp;'4.9'!N$1+2),12,SEARCH(",",INDIRECT("'4.9'!C$"&amp;'4.9'!N$1+2),12)-12))</f>
        <v xml:space="preserve"> 4.9</v>
      </c>
      <c r="P47" s="485" t="str">
        <f ca="1">INDIRECT("'4.9'!B$"&amp;'4.9'!N$1)</f>
        <v>Herstellung von Baubestandsplänen</v>
      </c>
      <c r="Q47" s="485"/>
      <c r="R47" s="485"/>
      <c r="S47" s="485"/>
      <c r="T47" s="549">
        <f ca="1">INDIRECT("'4.9'!G$"&amp;'4.9'!N$2)</f>
        <v>0</v>
      </c>
      <c r="U47" s="490"/>
    </row>
    <row r="48" spans="1:21" ht="14.25" customHeight="1" x14ac:dyDescent="0.35">
      <c r="A48" s="830"/>
      <c r="B48" s="28" t="str">
        <f t="shared" ca="1" si="0"/>
        <v/>
      </c>
      <c r="C48" s="1" t="str">
        <f t="shared" ca="1" si="1"/>
        <v/>
      </c>
      <c r="G48" s="420" t="str">
        <f t="shared" ca="1" si="2"/>
        <v/>
      </c>
      <c r="H48" s="420" t="str">
        <f t="shared" ca="1" si="3"/>
        <v/>
      </c>
      <c r="L48" s="557"/>
      <c r="M48" s="554">
        <f>IF('4.10'!N$3&gt;0,1,0)</f>
        <v>0</v>
      </c>
      <c r="N48" s="484">
        <f t="shared" ca="1" si="6"/>
        <v>0</v>
      </c>
      <c r="O48" s="484" t="str">
        <f ca="1">IF(C$19=L$5,N48,MID(INDIRECT("'4.10'!C$"&amp;'4.10'!N$1+2),12,SEARCH(",",INDIRECT("'4.10'!C$"&amp;'4.10'!N$1+2),12)-12))</f>
        <v xml:space="preserve"> 4.10</v>
      </c>
      <c r="P48" s="485" t="str">
        <f ca="1">INDIRECT("'4.10'!B$"&amp;'4.10'!N$1)</f>
        <v>Herstellung von Profilen</v>
      </c>
      <c r="Q48" s="485"/>
      <c r="R48" s="485"/>
      <c r="S48" s="485"/>
      <c r="T48" s="549">
        <f ca="1">INDIRECT("'4.10'!G$"&amp;'4.10'!N$2)</f>
        <v>0</v>
      </c>
      <c r="U48" s="490"/>
    </row>
    <row r="49" spans="1:21" ht="14.25" customHeight="1" x14ac:dyDescent="0.35">
      <c r="A49" s="830"/>
      <c r="B49" s="28" t="str">
        <f t="shared" ca="1" si="0"/>
        <v/>
      </c>
      <c r="C49" s="1" t="str">
        <f t="shared" ca="1" si="1"/>
        <v/>
      </c>
      <c r="G49" s="420" t="str">
        <f t="shared" ca="1" si="2"/>
        <v/>
      </c>
      <c r="H49" s="420" t="str">
        <f t="shared" ca="1" si="3"/>
        <v/>
      </c>
      <c r="L49" s="557"/>
      <c r="M49" s="554">
        <f>IF('4.11'!N$3&gt;0,1,0)</f>
        <v>0</v>
      </c>
      <c r="N49" s="484">
        <f t="shared" ca="1" si="6"/>
        <v>0</v>
      </c>
      <c r="O49" s="484" t="str">
        <f ca="1">IF(C$19=L$5,N49,MID(INDIRECT("'4.11'!C$"&amp;'4.11'!N$1+2),12,SEARCH(",",INDIRECT("'4.11'!C$"&amp;'4.11'!N$1+2),12)-12))</f>
        <v xml:space="preserve"> 4.11</v>
      </c>
      <c r="P49" s="485" t="str">
        <f ca="1">INDIRECT("'4.11'!B$"&amp;'4.11'!N$1)</f>
        <v>Absteckungen</v>
      </c>
      <c r="Q49" s="485"/>
      <c r="R49" s="485"/>
      <c r="S49" s="485"/>
      <c r="T49" s="549">
        <f ca="1">INDIRECT("'4.11'!G$"&amp;'4.11'!N$2)</f>
        <v>0</v>
      </c>
      <c r="U49" s="490"/>
    </row>
    <row r="50" spans="1:21" ht="14.25" customHeight="1" x14ac:dyDescent="0.35">
      <c r="A50" s="830"/>
      <c r="B50" s="28" t="str">
        <f t="shared" ca="1" si="0"/>
        <v/>
      </c>
      <c r="C50" s="1" t="str">
        <f t="shared" ca="1" si="1"/>
        <v/>
      </c>
      <c r="G50" s="420" t="str">
        <f t="shared" ca="1" si="2"/>
        <v/>
      </c>
      <c r="H50" s="420" t="str">
        <f t="shared" ca="1" si="3"/>
        <v/>
      </c>
      <c r="L50" s="557"/>
      <c r="M50" s="554">
        <f>IF('4.12'!N$3&gt;0,1,0)</f>
        <v>0</v>
      </c>
      <c r="N50" s="484">
        <f t="shared" ca="1" si="6"/>
        <v>0</v>
      </c>
      <c r="O50" s="484" t="str">
        <f ca="1">IF(C$19=L$5,N50,MID(INDIRECT("'4.12'!C$"&amp;'4.12'!N$1+2),12,SEARCH(",",INDIRECT("'4.12'!C$"&amp;'4.12'!N$1+2),12)-12))</f>
        <v xml:space="preserve"> 4.12</v>
      </c>
      <c r="P50" s="485" t="str">
        <f ca="1">INDIRECT("'4.12'!B$"&amp;'4.12'!N$1)</f>
        <v>Achseinrechnung und Berechnung von Achszwischenpunkten</v>
      </c>
      <c r="Q50" s="485"/>
      <c r="R50" s="485"/>
      <c r="S50" s="485"/>
      <c r="T50" s="549">
        <f ca="1">INDIRECT("'4.12'!G$"&amp;'4.12'!N$2)</f>
        <v>0</v>
      </c>
      <c r="U50" s="490"/>
    </row>
    <row r="51" spans="1:21" ht="14.25" customHeight="1" x14ac:dyDescent="0.35">
      <c r="A51" s="830"/>
      <c r="B51" s="28" t="str">
        <f t="shared" ca="1" si="0"/>
        <v/>
      </c>
      <c r="C51" s="1" t="str">
        <f t="shared" ca="1" si="1"/>
        <v/>
      </c>
      <c r="G51" s="420" t="str">
        <f t="shared" ca="1" si="2"/>
        <v/>
      </c>
      <c r="H51" s="420" t="str">
        <f t="shared" ca="1" si="3"/>
        <v/>
      </c>
      <c r="L51" s="557"/>
      <c r="M51" s="554">
        <f>IF('4.13'!N$3&gt;0,1,0)</f>
        <v>0</v>
      </c>
      <c r="N51" s="484">
        <f t="shared" ca="1" si="6"/>
        <v>0</v>
      </c>
      <c r="O51" s="484" t="str">
        <f ca="1">IF(C$19=L$5,N51,MID(INDIRECT("'4.13'!C$"&amp;'4.13'!N$1+2),12,SEARCH(",",INDIRECT("'4.13'!C$"&amp;'4.13'!N$1+2),12)-12))</f>
        <v xml:space="preserve"> 4.13</v>
      </c>
      <c r="P51" s="485" t="str">
        <f ca="1">INDIRECT("'4.13'!B$"&amp;'4.13'!N$1)</f>
        <v>Photogrammetrie</v>
      </c>
      <c r="Q51" s="485"/>
      <c r="R51" s="485"/>
      <c r="S51" s="485"/>
      <c r="T51" s="549">
        <f ca="1">INDIRECT("'4.13'!G$"&amp;'4.13'!N$2)</f>
        <v>0</v>
      </c>
      <c r="U51" s="490"/>
    </row>
    <row r="52" spans="1:21" ht="14.25" customHeight="1" x14ac:dyDescent="0.35">
      <c r="A52" s="830"/>
      <c r="B52" s="28" t="str">
        <f t="shared" ca="1" si="0"/>
        <v/>
      </c>
      <c r="C52" s="1" t="str">
        <f t="shared" ca="1" si="1"/>
        <v/>
      </c>
      <c r="G52" s="420" t="str">
        <f t="shared" ca="1" si="2"/>
        <v/>
      </c>
      <c r="H52" s="420" t="str">
        <f t="shared" ca="1" si="3"/>
        <v/>
      </c>
      <c r="L52" s="557"/>
      <c r="M52" s="554">
        <f>IF('4.14'!N$3&gt;0,1,0)</f>
        <v>0</v>
      </c>
      <c r="N52" s="484">
        <f t="shared" ca="1" si="6"/>
        <v>0</v>
      </c>
      <c r="O52" s="484" t="str">
        <f ca="1">IF(C$19=L$5,N52,MID(INDIRECT("'4.14'!C$"&amp;'4.14'!N$1+2),12,SEARCH(",",INDIRECT("'4.14'!C$"&amp;'4.14'!N$1+2),12)-12))</f>
        <v xml:space="preserve"> 4.14</v>
      </c>
      <c r="P52" s="485" t="str">
        <f ca="1">INDIRECT("'4.14'!B$"&amp;'4.14'!N$1)</f>
        <v>Laserscanning</v>
      </c>
      <c r="Q52" s="485"/>
      <c r="R52" s="485"/>
      <c r="S52" s="485"/>
      <c r="T52" s="549">
        <f ca="1">INDIRECT("'4.14'!G$"&amp;'4.14'!N$2)</f>
        <v>0</v>
      </c>
      <c r="U52" s="490"/>
    </row>
    <row r="53" spans="1:21" ht="14.25" customHeight="1" x14ac:dyDescent="0.35">
      <c r="A53" s="830"/>
      <c r="B53" s="28" t="str">
        <f t="shared" ca="1" si="0"/>
        <v/>
      </c>
      <c r="C53" s="1" t="str">
        <f t="shared" ca="1" si="1"/>
        <v/>
      </c>
      <c r="G53" s="420" t="str">
        <f t="shared" ca="1" si="2"/>
        <v/>
      </c>
      <c r="H53" s="420" t="str">
        <f t="shared" ca="1" si="3"/>
        <v/>
      </c>
      <c r="L53" s="557"/>
      <c r="M53" s="554">
        <f>IF('4.15'!N$3&gt;0,1,0)</f>
        <v>0</v>
      </c>
      <c r="N53" s="484">
        <f t="shared" ca="1" si="6"/>
        <v>0</v>
      </c>
      <c r="O53" s="484" t="str">
        <f ca="1">IF(C$19=L$5,N53,MID(INDIRECT("'4.15'!C$"&amp;'4.15'!N$1+2),12,SEARCH(",",INDIRECT("'4.15'!C$"&amp;'4.15'!N$1+2),12)-12))</f>
        <v xml:space="preserve"> 4.15</v>
      </c>
      <c r="P53" s="485" t="str">
        <f ca="1">INDIRECT("'4.15'!B$"&amp;'4.15'!N$1)</f>
        <v xml:space="preserve">Signalisierung und Stabilisierung </v>
      </c>
      <c r="Q53" s="485"/>
      <c r="R53" s="485"/>
      <c r="S53" s="485"/>
      <c r="T53" s="549">
        <f ca="1">INDIRECT("'4.15'!G$"&amp;'4.15'!N$2)</f>
        <v>0</v>
      </c>
      <c r="U53" s="490"/>
    </row>
    <row r="54" spans="1:21" ht="14.25" customHeight="1" x14ac:dyDescent="0.35">
      <c r="A54" s="830"/>
      <c r="B54" s="28" t="str">
        <f t="shared" ca="1" si="0"/>
        <v/>
      </c>
      <c r="C54" s="1" t="str">
        <f t="shared" ca="1" si="1"/>
        <v/>
      </c>
      <c r="G54" s="420" t="str">
        <f t="shared" ca="1" si="2"/>
        <v/>
      </c>
      <c r="H54" s="420" t="str">
        <f t="shared" ca="1" si="3"/>
        <v/>
      </c>
      <c r="L54" s="557"/>
      <c r="M54" s="554">
        <f>IF('5.1'!N$3&gt;0,1,0)</f>
        <v>0</v>
      </c>
      <c r="N54" s="484">
        <f t="shared" ca="1" si="6"/>
        <v>0</v>
      </c>
      <c r="O54" s="484" t="str">
        <f ca="1">IF(C$19=L$5,N54,MID(INDIRECT("'5.1'!C$"&amp;'5.1'!N$1+2),12,SEARCH(",",INDIRECT("'5.1'!C$"&amp;'5.1'!N$1+2),12)-12))</f>
        <v xml:space="preserve"> 5.1</v>
      </c>
      <c r="P54" s="485" t="str">
        <f ca="1">INDIRECT("'5.1'!B$"&amp;'5.1'!N$1)</f>
        <v>Geoinformationen</v>
      </c>
      <c r="Q54" s="485"/>
      <c r="R54" s="485"/>
      <c r="S54" s="485"/>
      <c r="T54" s="549">
        <f ca="1">INDIRECT("'5.1'!G$"&amp;'5.1'!N$2)</f>
        <v>0</v>
      </c>
      <c r="U54" s="490"/>
    </row>
    <row r="55" spans="1:21" ht="14.25" customHeight="1" x14ac:dyDescent="0.35">
      <c r="A55" s="830"/>
      <c r="B55" s="28" t="str">
        <f t="shared" ca="1" si="0"/>
        <v/>
      </c>
      <c r="C55" s="1" t="str">
        <f t="shared" ca="1" si="1"/>
        <v/>
      </c>
      <c r="G55" s="420" t="str">
        <f t="shared" ca="1" si="2"/>
        <v/>
      </c>
      <c r="H55" s="420" t="str">
        <f t="shared" ca="1" si="3"/>
        <v/>
      </c>
      <c r="L55" s="557"/>
      <c r="M55" s="554">
        <f>IF('6.1'!N$3&gt;0,1,0)</f>
        <v>0</v>
      </c>
      <c r="N55" s="484">
        <f t="shared" ca="1" si="6"/>
        <v>0</v>
      </c>
      <c r="O55" s="484" t="str">
        <f ca="1">IF(C$19=L$5,N55,MID(INDIRECT("'6.1'!C$"&amp;'6.1'!N$1+2),12,SEARCH(",",INDIRECT("'6.1'!C$"&amp;'6.1'!N$1+2),12)-12))</f>
        <v xml:space="preserve"> 6.1</v>
      </c>
      <c r="P55" s="485" t="str">
        <f ca="1">INDIRECT("'6.1'!B$"&amp;'6.1'!N$1)</f>
        <v>Kanzleihonorare</v>
      </c>
      <c r="Q55" s="485"/>
      <c r="R55" s="485"/>
      <c r="S55" s="485"/>
      <c r="T55" s="549">
        <f ca="1">INDIRECT("'6.1'!G$"&amp;'6.1'!N$2)</f>
        <v>0</v>
      </c>
      <c r="U55" s="490"/>
    </row>
    <row r="56" spans="1:21" ht="14.25" customHeight="1" x14ac:dyDescent="0.35">
      <c r="A56" s="830"/>
      <c r="B56" s="28" t="str">
        <f t="shared" ca="1" si="0"/>
        <v/>
      </c>
      <c r="C56" s="1" t="str">
        <f t="shared" ca="1" si="1"/>
        <v/>
      </c>
      <c r="G56" s="420" t="str">
        <f t="shared" ca="1" si="2"/>
        <v/>
      </c>
      <c r="H56" s="420" t="str">
        <f t="shared" ca="1" si="3"/>
        <v/>
      </c>
      <c r="L56" s="557"/>
      <c r="M56" s="554">
        <f>IF('6.2'!N$3&gt;0,1,0)</f>
        <v>0</v>
      </c>
      <c r="N56" s="484">
        <f t="shared" ca="1" si="6"/>
        <v>0</v>
      </c>
      <c r="O56" s="484" t="str">
        <f ca="1">IF(C$19=L$5,N56,MID(INDIRECT("'6.2'!C$"&amp;'6.2'!N$1+2),12,SEARCH(",",INDIRECT("'6.2'!C$"&amp;'6.2'!N$1+2),12)-12))</f>
        <v xml:space="preserve"> 6.2</v>
      </c>
      <c r="P56" s="485" t="str">
        <f ca="1">INDIRECT("'6.2'!B$"&amp;'6.2'!N$1)</f>
        <v>Regieleistung</v>
      </c>
      <c r="Q56" s="485"/>
      <c r="R56" s="485"/>
      <c r="S56" s="485"/>
      <c r="T56" s="549">
        <f ca="1">INDIRECT("'6.2'!G$"&amp;'6.2'!N$2)</f>
        <v>0</v>
      </c>
      <c r="U56" s="490"/>
    </row>
    <row r="57" spans="1:21" ht="14.25" customHeight="1" x14ac:dyDescent="0.35">
      <c r="A57" s="830"/>
      <c r="B57" s="28" t="str">
        <f t="shared" ca="1" si="0"/>
        <v/>
      </c>
      <c r="C57" s="1" t="str">
        <f t="shared" ca="1" si="1"/>
        <v/>
      </c>
      <c r="G57" s="420" t="str">
        <f t="shared" ca="1" si="2"/>
        <v/>
      </c>
      <c r="H57" s="420" t="str">
        <f t="shared" ca="1" si="3"/>
        <v/>
      </c>
      <c r="L57" s="557"/>
      <c r="M57" s="554">
        <f>IF('6.2a'!N$3&gt;0,1,0)</f>
        <v>0</v>
      </c>
      <c r="N57" s="484">
        <f t="shared" ca="1" si="6"/>
        <v>0</v>
      </c>
      <c r="O57" s="484" t="str">
        <f ca="1">IF(C$19=L$5,N57,MID(INDIRECT("'6.2a'!C$"&amp;'6.2a'!N$1+2),12,SEARCH(",",INDIRECT("'6.2a'!C$"&amp;'6.2a'!N$1+2),12)-12))</f>
        <v xml:space="preserve"> 6.2</v>
      </c>
      <c r="P57" s="485" t="str">
        <f ca="1">INDIRECT("'6.2a'!B$"&amp;'6.2a'!N$1)</f>
        <v>Regieleistung  A</v>
      </c>
      <c r="Q57" s="485"/>
      <c r="R57" s="485"/>
      <c r="S57" s="485"/>
      <c r="T57" s="549">
        <f ca="1">INDIRECT("'6.2a'!G$"&amp;'6.2a'!N$2)</f>
        <v>0</v>
      </c>
      <c r="U57" s="490"/>
    </row>
    <row r="58" spans="1:21" ht="14.25" customHeight="1" x14ac:dyDescent="0.35">
      <c r="A58" s="830"/>
      <c r="B58" s="28" t="str">
        <f t="shared" ca="1" si="0"/>
        <v/>
      </c>
      <c r="C58" s="1" t="str">
        <f t="shared" ca="1" si="1"/>
        <v/>
      </c>
      <c r="G58" s="420" t="str">
        <f t="shared" ca="1" si="2"/>
        <v/>
      </c>
      <c r="H58" s="420" t="str">
        <f t="shared" ca="1" si="3"/>
        <v/>
      </c>
      <c r="L58" s="557"/>
      <c r="M58" s="554">
        <f>IF('6.2b'!N$3&gt;0,1,0)</f>
        <v>0</v>
      </c>
      <c r="N58" s="484">
        <f t="shared" ca="1" si="6"/>
        <v>0</v>
      </c>
      <c r="O58" s="484" t="str">
        <f ca="1">IF(C$19=L$5,N58,MID(INDIRECT("'6.2b'!C$"&amp;'6.2b'!N$1+2),12,SEARCH(",",INDIRECT("'6.2b'!C$"&amp;'6.2b'!N$1+2),12)-12))</f>
        <v xml:space="preserve"> 6.2</v>
      </c>
      <c r="P58" s="485" t="str">
        <f ca="1">INDIRECT("'6.2b'!B$"&amp;'6.2b'!N$1)</f>
        <v>Regieleistung  B</v>
      </c>
      <c r="Q58" s="485"/>
      <c r="R58" s="485"/>
      <c r="S58" s="485"/>
      <c r="T58" s="549">
        <f ca="1">INDIRECT("'6.2b'!G$"&amp;'6.2b'!N$2)</f>
        <v>0</v>
      </c>
      <c r="U58" s="490"/>
    </row>
    <row r="59" spans="1:21" ht="14.25" customHeight="1" x14ac:dyDescent="0.35">
      <c r="A59" s="830"/>
      <c r="B59" s="28" t="str">
        <f t="shared" ca="1" si="0"/>
        <v/>
      </c>
      <c r="C59" s="1" t="str">
        <f t="shared" ca="1" si="1"/>
        <v/>
      </c>
      <c r="G59" s="420" t="str">
        <f t="shared" ca="1" si="2"/>
        <v/>
      </c>
      <c r="H59" s="420" t="str">
        <f t="shared" ca="1" si="3"/>
        <v/>
      </c>
      <c r="L59" s="557"/>
      <c r="M59" s="554">
        <f>IF('6.2c'!N$3&gt;0,1,0)</f>
        <v>0</v>
      </c>
      <c r="N59" s="484">
        <f t="shared" ca="1" si="6"/>
        <v>0</v>
      </c>
      <c r="O59" s="484" t="str">
        <f ca="1">IF(C$19=L$5,N59,MID(INDIRECT("'6.2c'!C$"&amp;'6.2c'!N$1+2),12,SEARCH(",",INDIRECT("'6.2c'!C$"&amp;'6.2c'!N$1+2),12)-12))</f>
        <v xml:space="preserve"> 6.2</v>
      </c>
      <c r="P59" s="485" t="str">
        <f ca="1">INDIRECT("'6.2c'!B$"&amp;'6.2c'!N$1)</f>
        <v>Regieleistung  C</v>
      </c>
      <c r="Q59" s="485"/>
      <c r="R59" s="485"/>
      <c r="S59" s="485"/>
      <c r="T59" s="549">
        <f ca="1">INDIRECT("'6.2c'!G$"&amp;'6.2c'!N$2)</f>
        <v>0</v>
      </c>
      <c r="U59" s="490"/>
    </row>
    <row r="60" spans="1:21" ht="14.25" customHeight="1" x14ac:dyDescent="0.35">
      <c r="A60" s="830"/>
      <c r="B60" s="28" t="str">
        <f t="shared" ca="1" si="0"/>
        <v/>
      </c>
      <c r="C60" s="1" t="str">
        <f t="shared" ca="1" si="1"/>
        <v/>
      </c>
      <c r="G60" s="420" t="str">
        <f t="shared" ca="1" si="2"/>
        <v/>
      </c>
      <c r="H60" s="420" t="str">
        <f t="shared" ca="1" si="3"/>
        <v/>
      </c>
      <c r="L60" s="557"/>
      <c r="M60" s="554">
        <f>IF('6.2d'!N$3&gt;0,1,0)</f>
        <v>0</v>
      </c>
      <c r="N60" s="484">
        <f t="shared" ca="1" si="6"/>
        <v>0</v>
      </c>
      <c r="O60" s="484" t="str">
        <f ca="1">IF(C$19=L$5,N60,MID(INDIRECT("'6.2d'!C$"&amp;'6.2d'!N$1+2),12,SEARCH(",",INDIRECT("'6.2d'!C$"&amp;'6.2d'!N$1+2),12)-12))</f>
        <v xml:space="preserve"> 6.2</v>
      </c>
      <c r="P60" s="485" t="str">
        <f ca="1">INDIRECT("'6.2d'!B$"&amp;'6.2d'!N$1)</f>
        <v>Regieleistung  D</v>
      </c>
      <c r="Q60" s="485"/>
      <c r="R60" s="485"/>
      <c r="S60" s="485"/>
      <c r="T60" s="549">
        <f ca="1">INDIRECT("'6.2d'!G$"&amp;'6.2d'!N$2)</f>
        <v>0</v>
      </c>
      <c r="U60" s="490"/>
    </row>
    <row r="61" spans="1:21" ht="14.25" customHeight="1" x14ac:dyDescent="0.35">
      <c r="A61" s="830"/>
      <c r="B61" s="28" t="str">
        <f t="shared" ca="1" si="0"/>
        <v/>
      </c>
      <c r="C61" s="1" t="str">
        <f t="shared" ca="1" si="1"/>
        <v/>
      </c>
      <c r="G61" s="420" t="str">
        <f t="shared" ca="1" si="2"/>
        <v/>
      </c>
      <c r="H61" s="420" t="str">
        <f t="shared" ca="1" si="3"/>
        <v/>
      </c>
      <c r="L61" s="557"/>
      <c r="M61" s="554">
        <f>IF('7.1'!N$3&gt;0,1,0)</f>
        <v>0</v>
      </c>
      <c r="N61" s="484">
        <f t="shared" ca="1" si="6"/>
        <v>0</v>
      </c>
      <c r="O61" s="484" t="str">
        <f ca="1">IF(C$19=L$5,N61,MID(INDIRECT("'7.1'!C$"&amp;'7.1'!N$1+2),12,SEARCH(",",INDIRECT("'7.1'!C$"&amp;'7.1'!N$1+2),12)-12))</f>
        <v xml:space="preserve"> 7.1</v>
      </c>
      <c r="P61" s="485" t="str">
        <f ca="1">INDIRECT("'7.1'!B$"&amp;'7.1'!N$1)</f>
        <v>Katastereintragung</v>
      </c>
      <c r="Q61" s="485"/>
      <c r="R61" s="485"/>
      <c r="S61" s="485"/>
      <c r="T61" s="549">
        <f ca="1">INDIRECT("'7.1'!G$"&amp;'7.1'!N$2)</f>
        <v>0</v>
      </c>
      <c r="U61" s="490"/>
    </row>
    <row r="62" spans="1:21" ht="14.25" customHeight="1" x14ac:dyDescent="0.35">
      <c r="A62" s="830"/>
      <c r="B62" s="28" t="str">
        <f t="shared" ca="1" si="0"/>
        <v/>
      </c>
      <c r="C62" s="1" t="str">
        <f t="shared" ca="1" si="1"/>
        <v/>
      </c>
      <c r="G62" s="420" t="str">
        <f t="shared" ca="1" si="2"/>
        <v/>
      </c>
      <c r="H62" s="420" t="str">
        <f t="shared" ca="1" si="3"/>
        <v/>
      </c>
      <c r="L62" s="557"/>
      <c r="M62" s="554">
        <f>IF('7.2'!N$3&gt;0,1,0)</f>
        <v>0</v>
      </c>
      <c r="N62" s="484">
        <f t="shared" ca="1" si="6"/>
        <v>0</v>
      </c>
      <c r="O62" s="484" t="str">
        <f ca="1">IF(C$19=L$5,N62,MID(INDIRECT("'7.2'!C$"&amp;'7.2'!N$1+2),12,SEARCH(",",INDIRECT("'7.2'!C$"&amp;'7.2'!N$1+2),12)-12))</f>
        <v xml:space="preserve"> 7.2</v>
      </c>
      <c r="P62" s="485" t="str">
        <f ca="1">INDIRECT("'7.2'!B$"&amp;'7.2'!N$1)</f>
        <v>Einbautenerhebung und -eintragung</v>
      </c>
      <c r="Q62" s="485"/>
      <c r="R62" s="485"/>
      <c r="S62" s="485"/>
      <c r="T62" s="549">
        <f ca="1">INDIRECT("'7.2'!G$"&amp;'7.2'!N$2)</f>
        <v>0</v>
      </c>
      <c r="U62" s="490"/>
    </row>
    <row r="63" spans="1:21" ht="14.25" customHeight="1" x14ac:dyDescent="0.35">
      <c r="A63" s="830"/>
      <c r="B63" s="78"/>
      <c r="C63" s="483" t="str">
        <f ca="1">IF(maxzeile&gt;31,"Wegen Platzmangel nicht alle Positionen angeführt  - ev. nur kalkulierte Pos. anführen!","")</f>
        <v/>
      </c>
      <c r="D63" s="78"/>
      <c r="E63" s="78"/>
      <c r="F63" s="151"/>
      <c r="G63" s="78"/>
      <c r="H63" s="78"/>
      <c r="I63" s="78"/>
      <c r="L63" s="557"/>
      <c r="M63" s="554">
        <f>IF('6.3'!N$3&gt;0,1,0)</f>
        <v>0</v>
      </c>
      <c r="N63" s="484">
        <f t="shared" ca="1" si="6"/>
        <v>0</v>
      </c>
      <c r="O63" s="484" t="str">
        <f ca="1">IF(C$19=L$5,N63,MID(INDIRECT("'6.3'!C$"&amp;'6.3'!N$1+2),12,SEARCH(",",INDIRECT("'6.3'!C$"&amp;'6.3'!N$1+2),12)-12))</f>
        <v xml:space="preserve"> 6.3</v>
      </c>
      <c r="P63" s="485" t="str">
        <f ca="1">INDIRECT("'6.3'!B$"&amp;'6.3'!N$1)</f>
        <v>Nebenkosten</v>
      </c>
      <c r="Q63" s="485"/>
      <c r="R63" s="485"/>
      <c r="S63" s="485"/>
      <c r="T63" s="549">
        <f ca="1">INDIRECT("'6.3'!G$"&amp;'6.3'!N$2)</f>
        <v>0</v>
      </c>
      <c r="U63" s="490"/>
    </row>
    <row r="64" spans="1:21" ht="11.25" customHeight="1" x14ac:dyDescent="0.35">
      <c r="A64" s="830"/>
      <c r="C64" t="str">
        <f ca="1">IF(CELL("Zeile",B64)-CELL("Zeile",B$31)&lt;=maxzeile,VLOOKUP(CELL("Zeile",B64)-CELL("Zeile",B$31),M55:T75,2,FALSE),"")</f>
        <v/>
      </c>
      <c r="G64" s="420" t="str">
        <f ca="1">IF(CELL("Zeile",B64)-CELL("Zeile",B$31)&lt;=maxzeile,VLOOKUP(CELL("Zeile",B64)-CELL("Zeile",B$31),M55:T75,7,FALSE),"")</f>
        <v/>
      </c>
      <c r="L64" s="553"/>
      <c r="M64" s="558"/>
      <c r="N64" s="485"/>
      <c r="O64" s="484"/>
      <c r="P64" s="485"/>
      <c r="Q64" s="485"/>
      <c r="R64" s="485"/>
      <c r="S64" s="485"/>
      <c r="T64" s="549"/>
      <c r="U64" s="490"/>
    </row>
    <row r="65" spans="1:21" ht="15" thickBot="1" x14ac:dyDescent="0.4">
      <c r="A65" s="830"/>
      <c r="C65" t="s">
        <v>591</v>
      </c>
      <c r="G65" s="420">
        <f ca="1">SUM(G32:G62)</f>
        <v>0</v>
      </c>
      <c r="H65" s="420">
        <f ca="1">IF(G$19&lt;&gt;L$11,SUM(H32:H62),"")</f>
        <v>0</v>
      </c>
      <c r="I65" s="420"/>
      <c r="L65" s="559"/>
      <c r="M65" s="560" t="s">
        <v>621</v>
      </c>
      <c r="N65" s="491">
        <f ca="1">N63</f>
        <v>0</v>
      </c>
      <c r="O65" s="491"/>
      <c r="P65" s="492"/>
      <c r="Q65" s="492"/>
      <c r="R65" s="492"/>
      <c r="S65" s="493" t="s">
        <v>623</v>
      </c>
      <c r="T65" s="550">
        <f ca="1">SUM(T$32:T63)</f>
        <v>0</v>
      </c>
      <c r="U65" s="494">
        <f ca="1">SUM(U$32:U63)</f>
        <v>0</v>
      </c>
    </row>
    <row r="66" spans="1:21" x14ac:dyDescent="0.35">
      <c r="A66" s="830"/>
      <c r="C66" s="421" t="str">
        <f>IF(E16&lt;&gt;0,E16,"")</f>
        <v/>
      </c>
      <c r="D66" t="str">
        <f>IF(AND(E16&lt;&gt;0,F16&lt;&gt;""),F16,"")</f>
        <v/>
      </c>
      <c r="G66" s="420" t="str">
        <f>IF(AND(E16&lt;&gt;0,E16&lt;&gt;""),$G65*C66,"")</f>
        <v/>
      </c>
      <c r="H66" s="420" t="str">
        <f>IF(AND(E16&lt;&gt;0,E16&lt;&gt;""),IF(G$19&lt;&gt;L$11,ROUND(H65*C66,VLOOKUP(G$19,L$12:N$15,3,FALSE)),""),"")</f>
        <v/>
      </c>
      <c r="I66" s="420"/>
    </row>
    <row r="67" spans="1:21" ht="12" customHeight="1" x14ac:dyDescent="0.35">
      <c r="A67" s="830"/>
      <c r="B67" s="78"/>
      <c r="C67" s="78"/>
      <c r="D67" s="78"/>
      <c r="E67" s="78"/>
      <c r="F67" s="151"/>
      <c r="G67" s="78"/>
      <c r="H67" s="78"/>
      <c r="I67" s="78"/>
    </row>
    <row r="68" spans="1:21" ht="9.75" customHeight="1" x14ac:dyDescent="0.35">
      <c r="A68" s="830"/>
      <c r="C68" t="str">
        <f ca="1">IF(CELL("Zeile",B68)-CELL("Zeile",B$31)&lt;=maxzeile,VLOOKUP(CELL("Zeile",B68)-CELL("Zeile",B$31),M66:T79,2,FALSE),"")</f>
        <v/>
      </c>
      <c r="G68" s="420" t="str">
        <f ca="1">IF(CELL("Zeile",B68)-CELL("Zeile",B$31)&lt;=maxzeile,VLOOKUP(CELL("Zeile",B68)-CELL("Zeile",B$31),M66:T79,7,FALSE),"")</f>
        <v/>
      </c>
    </row>
    <row r="69" spans="1:21" ht="15.5" x14ac:dyDescent="0.35">
      <c r="A69" s="830"/>
      <c r="C69" s="11" t="str">
        <f>IF(G$19=L$11,"Gesamthonorar netto","Gesamthonorar netto - gerundet")</f>
        <v>Gesamthonorar netto - gerundet</v>
      </c>
      <c r="D69" s="110"/>
      <c r="E69" s="110"/>
      <c r="F69" s="113"/>
      <c r="G69" s="841">
        <f ca="1">IF(G$19=L$11,SUM(G65,G66),SUM(H65,H66))</f>
        <v>0</v>
      </c>
      <c r="H69" s="841"/>
    </row>
    <row r="70" spans="1:21" x14ac:dyDescent="0.35">
      <c r="A70" s="830"/>
      <c r="C70" t="s">
        <v>592</v>
      </c>
      <c r="H70" s="335">
        <f ca="1">G69*0.2</f>
        <v>0</v>
      </c>
    </row>
    <row r="71" spans="1:21" ht="15" customHeight="1" x14ac:dyDescent="0.35">
      <c r="A71" s="830"/>
      <c r="B71" s="16"/>
      <c r="C71" t="str">
        <f ca="1">IF(U65&gt;0,"mehrwertsteuerfreie Beträge","")</f>
        <v/>
      </c>
      <c r="H71" s="335" t="str">
        <f ca="1">IF(U65&gt;0,ROUND(U65,2),"")</f>
        <v/>
      </c>
    </row>
    <row r="72" spans="1:21" ht="15.5" x14ac:dyDescent="0.35">
      <c r="A72" s="830"/>
      <c r="C72" s="470" t="s">
        <v>593</v>
      </c>
      <c r="D72" s="470"/>
      <c r="G72" s="842">
        <f ca="1">SUM(G69:H71)</f>
        <v>0</v>
      </c>
      <c r="H72" s="842"/>
    </row>
  </sheetData>
  <mergeCells count="22">
    <mergeCell ref="L2:P3"/>
    <mergeCell ref="G69:H69"/>
    <mergeCell ref="G72:H72"/>
    <mergeCell ref="B27:I27"/>
    <mergeCell ref="B23:I23"/>
    <mergeCell ref="C19:D19"/>
    <mergeCell ref="E19:F19"/>
    <mergeCell ref="G19:H19"/>
    <mergeCell ref="E4:H4"/>
    <mergeCell ref="E12:H12"/>
    <mergeCell ref="A21:A72"/>
    <mergeCell ref="B22:I22"/>
    <mergeCell ref="B24:I24"/>
    <mergeCell ref="B25:I25"/>
    <mergeCell ref="A1:A20"/>
    <mergeCell ref="E10:H10"/>
    <mergeCell ref="E11:H11"/>
    <mergeCell ref="E9:H9"/>
    <mergeCell ref="E2:H2"/>
    <mergeCell ref="E6:H6"/>
    <mergeCell ref="E5:H5"/>
    <mergeCell ref="E7:H7"/>
  </mergeCells>
  <conditionalFormatting sqref="L32:L63">
    <cfRule type="expression" dxfId="12" priority="2">
      <formula>AND($C$19="individuelle Nummer",SUM($T32,$U32)&gt;0)</formula>
    </cfRule>
  </conditionalFormatting>
  <conditionalFormatting sqref="L32:U41 L43:U63">
    <cfRule type="expression" dxfId="11" priority="11">
      <formula>SUM($T32,$U32)&gt;0</formula>
    </cfRule>
  </conditionalFormatting>
  <conditionalFormatting sqref="L42:U42">
    <cfRule type="expression" dxfId="10" priority="1">
      <formula>SUM($T42,$U42)&gt;0</formula>
    </cfRule>
  </conditionalFormatting>
  <dataValidations count="4">
    <dataValidation type="decimal" operator="greaterThan" showInputMessage="1" showErrorMessage="1" sqref="E16" xr:uid="{00000000-0002-0000-0100-000000000000}">
      <formula1>-10000</formula1>
    </dataValidation>
    <dataValidation type="list" showInputMessage="1" showErrorMessage="1" sqref="E19:F19" xr:uid="{00000000-0002-0000-0100-000001000000}">
      <formula1>$L$8:$L$9</formula1>
    </dataValidation>
    <dataValidation type="list" showInputMessage="1" showErrorMessage="1" sqref="G19:H19" xr:uid="{00000000-0002-0000-0100-000002000000}">
      <formula1>$L$11:$L$15</formula1>
    </dataValidation>
    <dataValidation type="list" showInputMessage="1" showErrorMessage="1" sqref="C19:D19" xr:uid="{00000000-0002-0000-0100-000003000000}">
      <formula1>$L$5:$L$7</formula1>
    </dataValidation>
  </dataValidations>
  <pageMargins left="0.70866141732283472" right="0.39370078740157483" top="0.59055118110236227" bottom="0.59055118110236227" header="0.31496062992125984" footer="0.31496062992125984"/>
  <pageSetup paperSize="9" orientation="portrait" r:id="rId1"/>
  <headerFooter>
    <oddFooter>&amp;L&amp;9&amp;F, &amp;A&amp;R&amp;9&amp;D</oddFooter>
  </headerFooter>
  <drawing r:id="rId2"/>
  <legacyDrawing r:id="rId3"/>
  <legacyDrawingHF r:id="rId4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2"/>
  <dimension ref="A1:T83"/>
  <sheetViews>
    <sheetView zoomScaleNormal="100" zoomScaleSheetLayoutView="100" workbookViewId="0">
      <selection activeCell="G4" sqref="G4"/>
    </sheetView>
  </sheetViews>
  <sheetFormatPr baseColWidth="10" defaultColWidth="11.453125" defaultRowHeight="14.5" x14ac:dyDescent="0.35"/>
  <cols>
    <col min="1" max="1" width="4" customWidth="1"/>
    <col min="2" max="2" width="6.7265625" customWidth="1"/>
    <col min="3" max="8" width="12.7265625" customWidth="1"/>
    <col min="9" max="9" width="5.7265625" customWidth="1"/>
    <col min="10" max="10" width="8.7265625" style="18" customWidth="1"/>
    <col min="11" max="11" width="11.453125" style="92"/>
    <col min="12" max="13" width="11.453125" style="93"/>
    <col min="14" max="18" width="11.453125" style="94"/>
  </cols>
  <sheetData>
    <row r="1" spans="1:20" ht="17.25" customHeight="1" x14ac:dyDescent="0.35">
      <c r="A1" s="833" t="s">
        <v>35</v>
      </c>
      <c r="B1" s="45"/>
      <c r="C1" s="45"/>
      <c r="D1" s="45"/>
      <c r="E1" s="45"/>
      <c r="F1" s="45"/>
      <c r="G1" s="45"/>
      <c r="H1" s="45"/>
      <c r="I1" s="45"/>
      <c r="K1" s="93" t="s">
        <v>699</v>
      </c>
      <c r="N1" s="94">
        <f ca="1">CELL("ZEILE",B37)</f>
        <v>37</v>
      </c>
    </row>
    <row r="2" spans="1:20" ht="22.5" customHeight="1" x14ac:dyDescent="0.35">
      <c r="A2" s="833"/>
      <c r="B2" s="46"/>
      <c r="C2" s="47" t="s">
        <v>36</v>
      </c>
      <c r="D2" s="848" t="s">
        <v>1124</v>
      </c>
      <c r="E2" s="849"/>
      <c r="F2" s="849"/>
      <c r="G2" s="849"/>
      <c r="H2" s="850"/>
      <c r="I2" s="45"/>
      <c r="K2" s="175" t="s">
        <v>700</v>
      </c>
      <c r="L2" s="155"/>
      <c r="M2" s="155"/>
      <c r="N2" s="175">
        <f ca="1">CELL("ZEILE",G79)</f>
        <v>79</v>
      </c>
      <c r="O2" s="175"/>
      <c r="P2" s="175"/>
    </row>
    <row r="3" spans="1:20" ht="18" customHeight="1" x14ac:dyDescent="0.35">
      <c r="A3" s="833"/>
      <c r="B3" s="46"/>
      <c r="C3" s="61"/>
      <c r="D3" s="14"/>
      <c r="E3" s="14"/>
      <c r="F3" s="14"/>
      <c r="G3" s="14"/>
      <c r="H3" s="64"/>
      <c r="I3" s="45"/>
      <c r="K3" s="175" t="s">
        <v>701</v>
      </c>
      <c r="L3" s="155"/>
      <c r="M3" s="155"/>
      <c r="N3" s="175">
        <f>F28</f>
        <v>0</v>
      </c>
      <c r="O3" s="175"/>
      <c r="P3" s="175"/>
    </row>
    <row r="4" spans="1:20" ht="17.25" customHeight="1" x14ac:dyDescent="0.45">
      <c r="A4" s="833"/>
      <c r="B4" s="521" t="s">
        <v>257</v>
      </c>
      <c r="C4" s="520" t="s">
        <v>751</v>
      </c>
      <c r="D4" s="168"/>
      <c r="E4" s="168"/>
      <c r="F4" s="168"/>
      <c r="G4" s="534"/>
      <c r="H4" s="168" t="s">
        <v>772</v>
      </c>
      <c r="I4" s="45"/>
      <c r="K4" s="529" t="s">
        <v>257</v>
      </c>
      <c r="L4" s="528">
        <f>IF(ISNUMBER(G4),G4,0)</f>
        <v>0</v>
      </c>
      <c r="M4" s="527"/>
      <c r="N4" s="92" t="s">
        <v>799</v>
      </c>
      <c r="O4" s="526">
        <f>IF(L&lt;&gt;0,(1+L/400+n_1/10+n_2/20)*K*(1+n_6/20),0)</f>
        <v>0</v>
      </c>
      <c r="P4" s="175"/>
      <c r="Q4" s="98" t="s">
        <v>800</v>
      </c>
    </row>
    <row r="5" spans="1:20" ht="17.25" customHeight="1" x14ac:dyDescent="0.45">
      <c r="A5" s="833"/>
      <c r="B5" s="521" t="s">
        <v>759</v>
      </c>
      <c r="C5" s="520" t="s">
        <v>752</v>
      </c>
      <c r="D5" s="168"/>
      <c r="E5" s="168"/>
      <c r="F5" s="168"/>
      <c r="G5" s="496"/>
      <c r="H5" s="168"/>
      <c r="I5" s="45"/>
      <c r="K5" s="529" t="s">
        <v>801</v>
      </c>
      <c r="L5" s="528">
        <f>IF(ISNUMBER(G5),G5,2)</f>
        <v>2</v>
      </c>
      <c r="M5" s="525"/>
      <c r="N5" s="92" t="s">
        <v>802</v>
      </c>
      <c r="O5" s="526">
        <f>IF(L&lt;&gt;0,(0.5+L/200+n_1/100)*K+n_2*(0.1+0.15*s_2),0)</f>
        <v>0</v>
      </c>
      <c r="Q5" s="98" t="s">
        <v>803</v>
      </c>
      <c r="S5" s="94"/>
      <c r="T5" s="152"/>
    </row>
    <row r="6" spans="1:20" ht="19.5" customHeight="1" x14ac:dyDescent="0.45">
      <c r="A6" s="833"/>
      <c r="B6" s="521" t="s">
        <v>760</v>
      </c>
      <c r="C6" s="520" t="s">
        <v>753</v>
      </c>
      <c r="D6" s="168"/>
      <c r="E6" s="168"/>
      <c r="F6" s="497"/>
      <c r="G6" s="496"/>
      <c r="H6" s="168"/>
      <c r="I6" s="203"/>
      <c r="J6" s="221"/>
      <c r="K6" s="529" t="s">
        <v>804</v>
      </c>
      <c r="L6" s="528">
        <f>IF(ISNUMBER(G6),G6,1)</f>
        <v>1</v>
      </c>
      <c r="N6" s="92" t="s">
        <v>805</v>
      </c>
      <c r="O6" s="526">
        <f>IF(L&lt;&gt;0,(0.5+L/400+n_1/12+n_2*(0.05+s_2/2))*K*E*(1+0.3*s_1),0)</f>
        <v>0</v>
      </c>
      <c r="Q6" s="98" t="s">
        <v>806</v>
      </c>
      <c r="S6" s="94"/>
      <c r="T6" s="152"/>
    </row>
    <row r="7" spans="1:20" s="2" customFormat="1" ht="20.149999999999999" customHeight="1" x14ac:dyDescent="0.45">
      <c r="A7" s="833"/>
      <c r="B7" s="521" t="s">
        <v>256</v>
      </c>
      <c r="C7" s="520" t="s">
        <v>791</v>
      </c>
      <c r="D7" s="168"/>
      <c r="E7" s="168"/>
      <c r="F7" s="168"/>
      <c r="G7" s="71" t="s">
        <v>176</v>
      </c>
      <c r="H7" s="168" t="str">
        <f>VLOOKUP(G7,Konstante!F3:H5,3,FALSE)</f>
        <v>mittlere Qualität</v>
      </c>
      <c r="I7" s="154"/>
      <c r="J7" s="223"/>
      <c r="K7" s="529" t="s">
        <v>256</v>
      </c>
      <c r="L7" s="528">
        <f>VLOOKUP(G7,Konstante!F3:G5,2,FALSE)</f>
        <v>1.2</v>
      </c>
      <c r="M7" s="93"/>
      <c r="N7" s="92" t="s">
        <v>807</v>
      </c>
      <c r="O7" s="526">
        <f>IF(L&lt;&gt;0,(L/200+n_1/20+n_2/20)*(s_1+s_3+s_4+s_5*s_6)+(2*s_7*SQRT(n_4)+IF(s_7=1,SQRT(n_4*n_5)/2,0)+SQRT(n_3)*s_5*(1+s_6/2))*(1+SQRT(F*V)/100),0)</f>
        <v>0</v>
      </c>
      <c r="P7" s="98"/>
      <c r="Q7" s="98" t="s">
        <v>828</v>
      </c>
      <c r="R7" s="94"/>
      <c r="S7" s="94"/>
      <c r="T7" s="30"/>
    </row>
    <row r="8" spans="1:20" s="2" customFormat="1" ht="20.149999999999999" customHeight="1" x14ac:dyDescent="0.45">
      <c r="A8" s="833"/>
      <c r="B8" s="521" t="s">
        <v>252</v>
      </c>
      <c r="C8" s="520" t="s">
        <v>773</v>
      </c>
      <c r="D8" s="168"/>
      <c r="E8" s="168"/>
      <c r="F8" s="168"/>
      <c r="G8" s="71" t="s">
        <v>20</v>
      </c>
      <c r="H8" s="168"/>
      <c r="I8" s="204"/>
      <c r="J8" s="223"/>
      <c r="K8" s="529" t="s">
        <v>252</v>
      </c>
      <c r="L8" s="528">
        <f>VLOOKUP(G8,Konstante!C3:D11,2,FALSE)</f>
        <v>1.6</v>
      </c>
      <c r="M8" s="93"/>
      <c r="N8" s="92" t="s">
        <v>808</v>
      </c>
      <c r="O8" s="526">
        <f>IF(L&lt;&gt;0,n_6+0.5*s_2,0)</f>
        <v>0</v>
      </c>
      <c r="P8" s="98"/>
      <c r="Q8" s="98" t="s">
        <v>809</v>
      </c>
      <c r="R8" s="94"/>
      <c r="S8" s="94"/>
      <c r="T8" s="30"/>
    </row>
    <row r="9" spans="1:20" s="2" customFormat="1" ht="20.149999999999999" customHeight="1" x14ac:dyDescent="0.45">
      <c r="A9" s="833"/>
      <c r="B9" s="521" t="s">
        <v>761</v>
      </c>
      <c r="C9" s="520" t="s">
        <v>774</v>
      </c>
      <c r="D9" s="168"/>
      <c r="E9" s="168"/>
      <c r="F9" s="168"/>
      <c r="G9" s="71" t="s">
        <v>138</v>
      </c>
      <c r="H9" s="168"/>
      <c r="I9" s="204"/>
      <c r="J9" s="223"/>
      <c r="K9" s="529" t="s">
        <v>810</v>
      </c>
      <c r="L9" s="528">
        <f>VLOOKUP(G9,Konstante!J$3:K$4,2,FALSE)</f>
        <v>1</v>
      </c>
      <c r="M9" s="93"/>
      <c r="N9" s="92" t="s">
        <v>811</v>
      </c>
      <c r="O9" s="526">
        <f>IF(L&lt;&gt;0,(0.5+n_4/2)*s_7*(1+F/1000)*E,0)</f>
        <v>0</v>
      </c>
      <c r="P9" s="98"/>
      <c r="Q9" s="98" t="s">
        <v>812</v>
      </c>
      <c r="R9" s="94"/>
      <c r="S9" s="94"/>
      <c r="T9" s="30"/>
    </row>
    <row r="10" spans="1:20" s="2" customFormat="1" ht="20.149999999999999" customHeight="1" x14ac:dyDescent="0.35">
      <c r="A10" s="833"/>
      <c r="B10" s="521" t="s">
        <v>762</v>
      </c>
      <c r="C10" s="520" t="s">
        <v>775</v>
      </c>
      <c r="D10" s="168"/>
      <c r="E10" s="168"/>
      <c r="F10" s="168"/>
      <c r="G10" s="71" t="s">
        <v>138</v>
      </c>
      <c r="H10" s="168"/>
      <c r="I10" s="204"/>
      <c r="J10" s="223"/>
      <c r="K10" s="529" t="s">
        <v>813</v>
      </c>
      <c r="L10" s="528">
        <f>VLOOKUP(G10,Konstante!J$3:K$4,2,FALSE)</f>
        <v>1</v>
      </c>
      <c r="M10" s="93"/>
      <c r="N10" s="523"/>
      <c r="O10" s="153">
        <f>SUM(O4:O9)</f>
        <v>0</v>
      </c>
      <c r="P10" s="98"/>
      <c r="Q10" s="98"/>
      <c r="R10" s="94"/>
      <c r="S10" s="94"/>
      <c r="T10" s="30"/>
    </row>
    <row r="11" spans="1:20" s="2" customFormat="1" ht="20.149999999999999" customHeight="1" x14ac:dyDescent="0.35">
      <c r="A11" s="833"/>
      <c r="B11" s="521" t="s">
        <v>763</v>
      </c>
      <c r="C11" s="520" t="s">
        <v>776</v>
      </c>
      <c r="D11" s="168"/>
      <c r="E11" s="168"/>
      <c r="F11" s="168"/>
      <c r="G11" s="71" t="s">
        <v>139</v>
      </c>
      <c r="H11" s="168"/>
      <c r="I11" s="204"/>
      <c r="J11" s="223"/>
      <c r="K11" s="529" t="s">
        <v>814</v>
      </c>
      <c r="L11" s="528">
        <f>VLOOKUP(G11,Konstante!J$3:K$4,2,FALSE)</f>
        <v>0</v>
      </c>
      <c r="M11" s="93"/>
      <c r="N11" s="523"/>
      <c r="O11" s="98"/>
      <c r="P11" s="98"/>
      <c r="Q11" s="98"/>
      <c r="R11" s="94"/>
      <c r="S11" s="94"/>
      <c r="T11" s="30"/>
    </row>
    <row r="12" spans="1:20" s="2" customFormat="1" ht="20.149999999999999" customHeight="1" x14ac:dyDescent="0.35">
      <c r="A12" s="833"/>
      <c r="B12" s="521" t="s">
        <v>764</v>
      </c>
      <c r="C12" s="520" t="s">
        <v>777</v>
      </c>
      <c r="D12" s="168"/>
      <c r="E12" s="168"/>
      <c r="F12" s="168"/>
      <c r="G12" s="71" t="s">
        <v>139</v>
      </c>
      <c r="H12" s="168"/>
      <c r="I12" s="204"/>
      <c r="J12" s="223"/>
      <c r="K12" s="529" t="s">
        <v>815</v>
      </c>
      <c r="L12" s="528">
        <f>VLOOKUP(G12,Konstante!M3:N6,2,FALSE)</f>
        <v>0</v>
      </c>
      <c r="M12" s="93"/>
      <c r="N12" s="523"/>
      <c r="O12" s="98"/>
      <c r="P12" s="98"/>
      <c r="Q12" s="98"/>
      <c r="R12" s="94"/>
      <c r="S12" s="94"/>
      <c r="T12" s="30"/>
    </row>
    <row r="13" spans="1:20" s="2" customFormat="1" ht="20.149999999999999" customHeight="1" x14ac:dyDescent="0.35">
      <c r="A13" s="833"/>
      <c r="B13" s="521" t="s">
        <v>765</v>
      </c>
      <c r="C13" s="520" t="s">
        <v>778</v>
      </c>
      <c r="D13" s="168"/>
      <c r="E13" s="168"/>
      <c r="F13" s="168"/>
      <c r="G13" s="71" t="s">
        <v>139</v>
      </c>
      <c r="H13" s="168"/>
      <c r="I13" s="204"/>
      <c r="J13" s="223"/>
      <c r="K13" s="529" t="s">
        <v>816</v>
      </c>
      <c r="L13" s="528">
        <f>VLOOKUP(G13,Konstante!J$3:K$4,2,FALSE)</f>
        <v>0</v>
      </c>
      <c r="M13" s="93"/>
      <c r="N13" s="523"/>
      <c r="O13" s="98"/>
      <c r="P13" s="98"/>
      <c r="Q13" s="535"/>
      <c r="R13" s="94"/>
      <c r="S13" s="94"/>
      <c r="T13" s="30"/>
    </row>
    <row r="14" spans="1:20" s="2" customFormat="1" ht="20.149999999999999" customHeight="1" x14ac:dyDescent="0.35">
      <c r="A14" s="833"/>
      <c r="B14" s="521" t="s">
        <v>766</v>
      </c>
      <c r="C14" s="520" t="s">
        <v>754</v>
      </c>
      <c r="D14" s="168"/>
      <c r="E14" s="168"/>
      <c r="F14" s="168"/>
      <c r="G14" s="71"/>
      <c r="H14" s="168"/>
      <c r="I14" s="204"/>
      <c r="J14" s="223"/>
      <c r="K14" s="529" t="s">
        <v>817</v>
      </c>
      <c r="L14" s="528">
        <f>IF(ISNUMBER(G14),G14,2)</f>
        <v>2</v>
      </c>
      <c r="M14" s="93"/>
      <c r="N14" s="523"/>
      <c r="O14" s="98"/>
      <c r="P14" s="98"/>
      <c r="Q14" s="98"/>
      <c r="R14" s="94"/>
      <c r="S14" s="94"/>
      <c r="T14" s="30"/>
    </row>
    <row r="15" spans="1:20" s="2" customFormat="1" ht="20.149999999999999" customHeight="1" x14ac:dyDescent="0.35">
      <c r="A15" s="833"/>
      <c r="B15" s="521" t="s">
        <v>767</v>
      </c>
      <c r="C15" s="520" t="s">
        <v>779</v>
      </c>
      <c r="D15" s="497"/>
      <c r="E15" s="497"/>
      <c r="F15" s="168"/>
      <c r="G15" s="71" t="s">
        <v>139</v>
      </c>
      <c r="H15" s="168"/>
      <c r="I15" s="204"/>
      <c r="J15" s="223"/>
      <c r="K15" s="529" t="s">
        <v>818</v>
      </c>
      <c r="L15" s="528">
        <f>VLOOKUP(G15,Konstante!J$6:K$7,2,FALSE)</f>
        <v>0</v>
      </c>
      <c r="M15" s="93"/>
      <c r="N15" s="523"/>
      <c r="O15" s="98"/>
      <c r="P15" s="98"/>
      <c r="Q15" s="98"/>
      <c r="R15" s="94"/>
      <c r="S15" s="94"/>
      <c r="T15" s="30"/>
    </row>
    <row r="16" spans="1:20" s="2" customFormat="1" ht="20.149999999999999" customHeight="1" x14ac:dyDescent="0.35">
      <c r="A16" s="833"/>
      <c r="B16" s="521" t="s">
        <v>768</v>
      </c>
      <c r="C16" s="520" t="s">
        <v>780</v>
      </c>
      <c r="D16" s="168"/>
      <c r="E16" s="168"/>
      <c r="F16" s="168"/>
      <c r="G16" s="71" t="s">
        <v>138</v>
      </c>
      <c r="H16" s="168"/>
      <c r="I16" s="204"/>
      <c r="J16" s="223"/>
      <c r="K16" s="529" t="s">
        <v>819</v>
      </c>
      <c r="L16" s="528">
        <f>VLOOKUP(G16,Konstante!J$3:K$4,2,FALSE)</f>
        <v>1</v>
      </c>
      <c r="M16" s="93"/>
      <c r="N16" s="523"/>
      <c r="O16" s="536"/>
      <c r="P16" s="98"/>
      <c r="Q16" s="98"/>
      <c r="R16" s="94"/>
      <c r="S16" s="94"/>
      <c r="T16" s="30"/>
    </row>
    <row r="17" spans="1:20" s="2" customFormat="1" ht="20.149999999999999" customHeight="1" x14ac:dyDescent="0.35">
      <c r="A17" s="833"/>
      <c r="B17" s="521" t="s">
        <v>769</v>
      </c>
      <c r="C17" s="520" t="s">
        <v>755</v>
      </c>
      <c r="D17" s="168"/>
      <c r="E17" s="168"/>
      <c r="F17" s="168"/>
      <c r="G17" s="496"/>
      <c r="H17" s="168"/>
      <c r="I17" s="204"/>
      <c r="J17" s="223"/>
      <c r="K17" s="529" t="s">
        <v>820</v>
      </c>
      <c r="L17" s="528">
        <f>IF(ISNUMBER(G17),G17,1)</f>
        <v>1</v>
      </c>
      <c r="M17" s="93"/>
      <c r="N17" s="523"/>
      <c r="O17" s="98"/>
      <c r="P17" s="98"/>
      <c r="Q17" s="98"/>
      <c r="R17" s="94"/>
      <c r="S17" s="94"/>
      <c r="T17" s="30"/>
    </row>
    <row r="18" spans="1:20" s="2" customFormat="1" ht="20.149999999999999" customHeight="1" x14ac:dyDescent="0.35">
      <c r="A18" s="833"/>
      <c r="B18" s="521" t="s">
        <v>254</v>
      </c>
      <c r="C18" s="520" t="s">
        <v>781</v>
      </c>
      <c r="D18" s="168"/>
      <c r="E18" s="168"/>
      <c r="F18" s="168"/>
      <c r="G18" s="534"/>
      <c r="H18" s="520" t="s">
        <v>782</v>
      </c>
      <c r="I18" s="204"/>
      <c r="J18" s="223"/>
      <c r="K18" s="529" t="s">
        <v>254</v>
      </c>
      <c r="L18" s="524">
        <f>IF(ISNUMBER(G18),IF(G18&lt;25,25,G18),25)</f>
        <v>25</v>
      </c>
      <c r="M18" s="93"/>
      <c r="N18" s="523"/>
      <c r="O18" s="98"/>
      <c r="P18" s="98"/>
      <c r="Q18" s="98"/>
      <c r="R18" s="94"/>
      <c r="S18" s="94"/>
      <c r="T18" s="30"/>
    </row>
    <row r="19" spans="1:20" s="2" customFormat="1" ht="20.149999999999999" customHeight="1" x14ac:dyDescent="0.35">
      <c r="A19" s="833"/>
      <c r="B19" s="521" t="s">
        <v>756</v>
      </c>
      <c r="C19" s="520" t="s">
        <v>792</v>
      </c>
      <c r="D19" s="168"/>
      <c r="E19" s="168"/>
      <c r="F19" s="168"/>
      <c r="G19" s="534"/>
      <c r="H19" s="520" t="s">
        <v>783</v>
      </c>
      <c r="I19" s="204"/>
      <c r="J19" s="223"/>
      <c r="K19" s="529" t="s">
        <v>756</v>
      </c>
      <c r="L19" s="524">
        <f>IF(ISNUMBER(G19),G19,0)</f>
        <v>0</v>
      </c>
      <c r="M19" s="93"/>
      <c r="N19" s="523"/>
      <c r="O19" s="98"/>
      <c r="P19" s="98"/>
      <c r="Q19" s="98"/>
      <c r="R19" s="94"/>
      <c r="S19" s="94"/>
      <c r="T19" s="30"/>
    </row>
    <row r="20" spans="1:20" s="2" customFormat="1" ht="20.149999999999999" customHeight="1" x14ac:dyDescent="0.35">
      <c r="A20" s="833"/>
      <c r="B20" s="521" t="s">
        <v>770</v>
      </c>
      <c r="C20" s="520" t="s">
        <v>757</v>
      </c>
      <c r="D20" s="168"/>
      <c r="E20" s="168"/>
      <c r="F20" s="168"/>
      <c r="G20" s="496"/>
      <c r="H20" s="168"/>
      <c r="I20" s="204"/>
      <c r="J20" s="223"/>
      <c r="K20" s="529" t="s">
        <v>821</v>
      </c>
      <c r="L20" s="528">
        <f>IF(ISNUMBER(G20),G20,0)</f>
        <v>0</v>
      </c>
      <c r="M20" s="93"/>
      <c r="N20" s="523"/>
      <c r="O20" s="98"/>
      <c r="P20" s="98"/>
      <c r="Q20" s="98"/>
      <c r="R20" s="94"/>
      <c r="S20" s="94"/>
      <c r="T20" s="30"/>
    </row>
    <row r="21" spans="1:20" s="2" customFormat="1" ht="20.149999999999999" customHeight="1" x14ac:dyDescent="0.35">
      <c r="A21" s="833"/>
      <c r="B21" s="521" t="s">
        <v>771</v>
      </c>
      <c r="C21" s="520" t="s">
        <v>758</v>
      </c>
      <c r="D21" s="168"/>
      <c r="E21" s="168"/>
      <c r="F21" s="168"/>
      <c r="G21" s="496"/>
      <c r="H21" s="168"/>
      <c r="I21" s="204"/>
      <c r="J21" s="19"/>
      <c r="K21" s="529" t="s">
        <v>822</v>
      </c>
      <c r="L21" s="528">
        <f>IF(ISNUMBER(G21),G21,0)</f>
        <v>0</v>
      </c>
      <c r="M21" s="93"/>
      <c r="N21" s="523"/>
      <c r="O21" s="98"/>
      <c r="P21" s="98"/>
      <c r="Q21" s="98"/>
      <c r="R21" s="94"/>
      <c r="S21" s="94"/>
      <c r="T21" s="30"/>
    </row>
    <row r="22" spans="1:20" s="2" customFormat="1" ht="20.149999999999999" customHeight="1" thickBot="1" x14ac:dyDescent="0.4">
      <c r="A22" s="833"/>
      <c r="B22" s="46"/>
      <c r="C22" s="242"/>
      <c r="D22" s="169"/>
      <c r="E22" s="168"/>
      <c r="F22" s="590" t="s">
        <v>633</v>
      </c>
      <c r="G22" s="586"/>
      <c r="H22" s="587"/>
      <c r="I22" s="204"/>
      <c r="J22" s="19"/>
      <c r="K22" s="94"/>
      <c r="L22" s="94"/>
      <c r="M22" s="93"/>
      <c r="N22" s="523"/>
      <c r="O22" s="98"/>
      <c r="P22" s="98"/>
      <c r="Q22" s="98"/>
      <c r="R22" s="94"/>
      <c r="S22" s="94"/>
      <c r="T22" s="30"/>
    </row>
    <row r="23" spans="1:20" s="2" customFormat="1" ht="20.149999999999999" customHeight="1" thickBot="1" x14ac:dyDescent="0.4">
      <c r="A23" s="833"/>
      <c r="B23" s="46"/>
      <c r="C23" s="242"/>
      <c r="D23" s="72" t="s">
        <v>843</v>
      </c>
      <c r="E23" s="351"/>
      <c r="F23" s="857"/>
      <c r="G23" s="855"/>
      <c r="H23" s="856"/>
      <c r="I23" s="204"/>
      <c r="J23" s="19"/>
      <c r="K23" s="94"/>
      <c r="L23" s="94"/>
      <c r="M23" s="93"/>
      <c r="N23" s="523"/>
      <c r="O23" s="98"/>
      <c r="P23" s="98"/>
      <c r="Q23" s="98"/>
      <c r="R23" s="94"/>
      <c r="S23" s="94"/>
      <c r="T23" s="30"/>
    </row>
    <row r="24" spans="1:20" s="2" customFormat="1" ht="20.149999999999999" customHeight="1" thickBot="1" x14ac:dyDescent="0.4">
      <c r="A24" s="833"/>
      <c r="B24" s="45"/>
      <c r="C24" s="242"/>
      <c r="D24" s="68" t="s">
        <v>630</v>
      </c>
      <c r="E24" s="591"/>
      <c r="F24" s="854"/>
      <c r="G24" s="855"/>
      <c r="H24" s="856"/>
      <c r="I24" s="47"/>
      <c r="J24" s="19"/>
      <c r="K24" s="529"/>
      <c r="L24" s="522"/>
      <c r="M24" s="193"/>
      <c r="N24" s="523"/>
      <c r="O24" s="98"/>
      <c r="P24" s="98"/>
      <c r="Q24" s="98"/>
      <c r="R24" s="98"/>
      <c r="T24" s="30"/>
    </row>
    <row r="25" spans="1:20" s="2" customFormat="1" ht="20.149999999999999" customHeight="1" thickBot="1" x14ac:dyDescent="0.4">
      <c r="A25" s="833"/>
      <c r="B25" s="46"/>
      <c r="C25" s="242"/>
      <c r="D25" s="68" t="s">
        <v>631</v>
      </c>
      <c r="E25" s="591"/>
      <c r="F25" s="854"/>
      <c r="G25" s="855"/>
      <c r="H25" s="856"/>
      <c r="I25" s="154"/>
      <c r="J25" s="19"/>
      <c r="K25" s="529"/>
      <c r="L25" s="522"/>
      <c r="M25" s="100"/>
      <c r="N25" s="523"/>
      <c r="O25" s="98"/>
      <c r="P25" s="98"/>
      <c r="Q25" s="98"/>
      <c r="R25" s="98"/>
      <c r="T25" s="30"/>
    </row>
    <row r="26" spans="1:20" s="2" customFormat="1" ht="20.149999999999999" customHeight="1" thickBot="1" x14ac:dyDescent="0.4">
      <c r="A26" s="833"/>
      <c r="B26" s="46"/>
      <c r="C26" s="242"/>
      <c r="D26" s="68" t="s">
        <v>724</v>
      </c>
      <c r="E26" s="591"/>
      <c r="F26" s="854"/>
      <c r="G26" s="855"/>
      <c r="H26" s="856"/>
      <c r="I26" s="154"/>
      <c r="J26" s="19"/>
      <c r="K26" s="529"/>
      <c r="L26" s="522"/>
      <c r="M26" s="100"/>
      <c r="N26" s="523"/>
      <c r="O26" s="98"/>
      <c r="P26" s="98"/>
      <c r="Q26" s="98"/>
      <c r="R26" s="98"/>
      <c r="T26" s="30"/>
    </row>
    <row r="27" spans="1:20" s="2" customFormat="1" ht="20.149999999999999" customHeight="1" x14ac:dyDescent="0.35">
      <c r="A27" s="833"/>
      <c r="B27" s="46"/>
      <c r="C27" s="65"/>
      <c r="D27" s="66"/>
      <c r="E27" s="66"/>
      <c r="F27" s="168"/>
      <c r="G27" s="66"/>
      <c r="H27" s="67"/>
      <c r="I27" s="45"/>
      <c r="J27" s="19"/>
      <c r="K27" s="227"/>
      <c r="L27" s="226"/>
      <c r="M27" s="226"/>
      <c r="N27" s="232"/>
      <c r="O27" s="223"/>
      <c r="P27" s="98"/>
      <c r="Q27" s="98"/>
      <c r="T27" s="30"/>
    </row>
    <row r="28" spans="1:20" ht="19.5" customHeight="1" x14ac:dyDescent="0.5">
      <c r="A28" s="833"/>
      <c r="B28" s="45"/>
      <c r="C28" s="54" t="str">
        <f>IF(F28=0, "UNVOLLSTÄNDIG AUSGEFÜLLT!","")</f>
        <v>UNVOLLSTÄNDIG AUSGEFÜLLT!</v>
      </c>
      <c r="D28" s="45"/>
      <c r="E28" s="45"/>
      <c r="F28" s="451">
        <f>IF(OR(O4&lt;&gt;0,O5&lt;&gt;0,O6&lt;&gt;0,O7&lt;&gt;0,O8&lt;&gt;0,O9&lt;&gt;0),1,0)</f>
        <v>0</v>
      </c>
      <c r="G28" s="852" t="str">
        <f>IF(VSK&lt;&gt;0, G79,"")</f>
        <v/>
      </c>
      <c r="H28" s="852"/>
      <c r="I28" s="45"/>
      <c r="K28" s="228"/>
      <c r="L28" s="222"/>
      <c r="M28" s="228"/>
      <c r="N28" s="232"/>
      <c r="O28" s="221"/>
      <c r="R28"/>
      <c r="T28" s="152"/>
    </row>
    <row r="29" spans="1:20" ht="19.5" customHeight="1" x14ac:dyDescent="0.35">
      <c r="A29" s="833"/>
      <c r="B29" s="45"/>
      <c r="C29" s="45"/>
      <c r="D29" s="45"/>
      <c r="E29" s="45"/>
      <c r="F29" s="45"/>
      <c r="G29" s="608" t="str">
        <f>IF(AND(VSK&lt;&gt;0,NK_3&lt;&gt;0), "zuzügl. Amtsgebühren ohne Mwst.","")</f>
        <v/>
      </c>
      <c r="H29" s="609" t="str">
        <f>IF(AND(VSK&lt;&gt;0,NK_3&lt;&gt;0), NK_3,"")</f>
        <v/>
      </c>
      <c r="I29" s="607"/>
      <c r="K29" s="228"/>
      <c r="L29" s="222"/>
      <c r="M29" s="222"/>
      <c r="N29" s="232"/>
      <c r="O29" s="221"/>
      <c r="R29"/>
      <c r="T29" s="152"/>
    </row>
    <row r="30" spans="1:20" ht="19.5" customHeight="1" x14ac:dyDescent="0.35">
      <c r="A30" s="579"/>
      <c r="B30" s="12"/>
      <c r="C30" s="12"/>
      <c r="D30" s="12"/>
      <c r="E30" s="12"/>
      <c r="F30" s="12"/>
      <c r="G30" s="610"/>
      <c r="H30" s="611"/>
      <c r="I30" s="12"/>
      <c r="K30" s="228"/>
      <c r="L30" s="222"/>
      <c r="M30" s="222"/>
      <c r="N30" s="232"/>
      <c r="O30" s="221"/>
      <c r="R30"/>
      <c r="T30" s="152"/>
    </row>
    <row r="31" spans="1:20" ht="15" customHeight="1" x14ac:dyDescent="0.35">
      <c r="A31" s="830" t="s">
        <v>66</v>
      </c>
      <c r="H31" s="853" t="str">
        <f ca="1">IF(VLOOKUP(B37,CHOOSE({5,4,3,2,1},Gesamt!L32:L65,Gesamt!M32:M65,Gesamt!N32:N65,Gesamt!O32:O65,Gesamt!P32:P65,),4,0)&gt;0,CONCATENATE("Pos. ",VLOOKUP(B37,CHOOSE({5,4,3,2,1},Gesamt!L32:L65,Gesamt!M32:M65,Gesamt!N32:N65,Gesamt!O32:O65,Gesamt!P32:P65,),VLOOKUP(Gesamt!C19,Gesamt!L5:N7,3,0),0)),"")</f>
        <v/>
      </c>
      <c r="I31" s="853"/>
      <c r="M31" s="92"/>
      <c r="N31" s="232"/>
      <c r="R31"/>
      <c r="T31" s="152"/>
    </row>
    <row r="32" spans="1:20" x14ac:dyDescent="0.35">
      <c r="A32" s="830"/>
      <c r="B32" s="831" t="str">
        <f>CONCATENATE(Gesamt!C2, ": ", Gesamt!E2)</f>
        <v xml:space="preserve">Projekt: </v>
      </c>
      <c r="C32" s="831"/>
      <c r="D32" s="831"/>
      <c r="E32" s="831"/>
      <c r="F32" s="831"/>
      <c r="G32" s="831"/>
      <c r="H32" s="831"/>
      <c r="I32" s="831"/>
      <c r="R32"/>
      <c r="T32" s="152"/>
    </row>
    <row r="33" spans="1:20" x14ac:dyDescent="0.35">
      <c r="A33" s="830"/>
      <c r="B33" s="832" t="str">
        <f>CONCATENATE(Gesamt!C4, ": ", Gesamt!E4, IF(Gesamt!E5&lt;&gt;""," - ",""), IF(Gesamt!E5&lt;&gt;"",Gesamt!E5,""), IF(Gesamt!E6&lt;&gt;""," - GZ. ",""), IF(Gesamt!E6&lt;&gt;"",Gesamt!E6,""),)</f>
        <v xml:space="preserve">Auftraggeber: </v>
      </c>
      <c r="C33" s="832"/>
      <c r="D33" s="832"/>
      <c r="E33" s="832"/>
      <c r="F33" s="832"/>
      <c r="G33" s="832"/>
      <c r="H33" s="832"/>
      <c r="I33" s="832"/>
      <c r="R33"/>
      <c r="T33" s="152"/>
    </row>
    <row r="34" spans="1:20" x14ac:dyDescent="0.35">
      <c r="A34" s="830"/>
      <c r="B34" s="832" t="str">
        <f>CONCATENATE(Gesamt!C9, ": ",Gesamt!E9,  IF(Gesamt!C10&lt;&gt;""," - ",""), IF(Gesamt!C10&lt;&gt;"",Gesamt!E10,""), IF(Gesamt!C11&lt;&gt;""," - GZ. ",""), IF(Gesamt!C11&lt;&gt;"",Gesamt!E11,""), )</f>
        <v xml:space="preserve">Bieter:  -  - GZ. </v>
      </c>
      <c r="C34" s="832"/>
      <c r="D34" s="832"/>
      <c r="E34" s="832"/>
      <c r="F34" s="832"/>
      <c r="G34" s="832"/>
      <c r="H34" s="832"/>
      <c r="I34" s="832"/>
    </row>
    <row r="35" spans="1:20" x14ac:dyDescent="0.35">
      <c r="A35" s="830"/>
      <c r="B35" s="832" t="s">
        <v>41</v>
      </c>
      <c r="C35" s="832"/>
      <c r="D35" s="832"/>
      <c r="E35" s="832"/>
      <c r="F35" s="832"/>
      <c r="G35" s="832"/>
      <c r="H35" s="832"/>
      <c r="I35" s="832"/>
    </row>
    <row r="36" spans="1:20" x14ac:dyDescent="0.35">
      <c r="A36" s="830"/>
    </row>
    <row r="37" spans="1:20" s="9" customFormat="1" ht="23.25" customHeight="1" x14ac:dyDescent="0.35">
      <c r="A37" s="830"/>
      <c r="B37" s="843" t="str">
        <f>D2</f>
        <v>Katastervermessung</v>
      </c>
      <c r="C37" s="843"/>
      <c r="D37" s="843"/>
      <c r="E37" s="843"/>
      <c r="F37" s="843"/>
      <c r="G37" s="843"/>
      <c r="H37" s="843"/>
      <c r="I37" s="843"/>
      <c r="J37" s="20"/>
      <c r="K37" s="101"/>
      <c r="L37" s="102"/>
      <c r="M37" s="102"/>
      <c r="N37" s="103"/>
      <c r="O37" s="103"/>
      <c r="P37" s="103"/>
      <c r="Q37" s="103"/>
      <c r="R37" s="518"/>
      <c r="S37" s="519"/>
    </row>
    <row r="38" spans="1:20" x14ac:dyDescent="0.35">
      <c r="A38" s="830"/>
    </row>
    <row r="39" spans="1:20" x14ac:dyDescent="0.35">
      <c r="A39" s="830"/>
      <c r="C39" t="s">
        <v>1125</v>
      </c>
    </row>
    <row r="40" spans="1:20" ht="30" customHeight="1" x14ac:dyDescent="0.35">
      <c r="A40" s="830"/>
      <c r="C40" s="851" t="s">
        <v>750</v>
      </c>
      <c r="D40" s="851"/>
      <c r="E40" s="851"/>
      <c r="F40" s="851"/>
      <c r="G40" s="851"/>
      <c r="H40" s="851"/>
    </row>
    <row r="41" spans="1:20" ht="10.5" customHeight="1" x14ac:dyDescent="0.35">
      <c r="A41" s="830"/>
      <c r="E41" s="1"/>
      <c r="F41" s="118"/>
    </row>
    <row r="42" spans="1:20" x14ac:dyDescent="0.35">
      <c r="A42" s="830"/>
      <c r="C42" t="s">
        <v>959</v>
      </c>
      <c r="E42" s="1"/>
      <c r="F42" s="118">
        <f>IS</f>
        <v>0</v>
      </c>
    </row>
    <row r="43" spans="1:20" ht="8.25" customHeight="1" x14ac:dyDescent="0.35">
      <c r="A43" s="830"/>
    </row>
    <row r="44" spans="1:20" ht="15" customHeight="1" x14ac:dyDescent="0.35">
      <c r="A44" s="830"/>
      <c r="C44" s="220" t="s">
        <v>824</v>
      </c>
    </row>
    <row r="45" spans="1:20" s="292" customFormat="1" ht="15" customHeight="1" x14ac:dyDescent="0.35">
      <c r="A45" s="830"/>
      <c r="D45" s="292" t="s">
        <v>793</v>
      </c>
      <c r="J45" s="533"/>
      <c r="K45" s="532"/>
      <c r="L45" s="531"/>
      <c r="M45" s="531"/>
      <c r="N45" s="530"/>
      <c r="O45" s="530"/>
      <c r="P45" s="530"/>
      <c r="Q45" s="530"/>
      <c r="R45" s="530"/>
    </row>
    <row r="46" spans="1:20" ht="15" x14ac:dyDescent="0.35">
      <c r="A46" s="830"/>
      <c r="D46" s="292" t="s">
        <v>794</v>
      </c>
      <c r="E46" s="234"/>
      <c r="F46" s="234"/>
      <c r="G46" s="234"/>
      <c r="H46" s="234"/>
      <c r="I46" s="234"/>
    </row>
    <row r="47" spans="1:20" ht="15" x14ac:dyDescent="0.35">
      <c r="A47" s="830"/>
      <c r="D47" s="292" t="s">
        <v>795</v>
      </c>
      <c r="E47" s="234"/>
      <c r="F47" s="234"/>
      <c r="G47" s="234"/>
      <c r="H47" s="234"/>
      <c r="I47" s="234"/>
    </row>
    <row r="48" spans="1:20" ht="15" x14ac:dyDescent="0.35">
      <c r="A48" s="830"/>
      <c r="D48" s="292" t="s">
        <v>796</v>
      </c>
      <c r="E48" s="234"/>
      <c r="F48" s="234"/>
      <c r="G48" s="234"/>
      <c r="H48" s="234"/>
      <c r="I48" s="234"/>
    </row>
    <row r="49" spans="1:9" ht="15" x14ac:dyDescent="0.35">
      <c r="A49" s="830"/>
      <c r="D49" s="292"/>
      <c r="E49" s="292" t="s">
        <v>827</v>
      </c>
      <c r="F49" s="234"/>
      <c r="G49" s="234"/>
      <c r="H49" s="234"/>
      <c r="I49" s="234"/>
    </row>
    <row r="50" spans="1:9" ht="15" x14ac:dyDescent="0.35">
      <c r="A50" s="830"/>
      <c r="D50" s="292" t="s">
        <v>797</v>
      </c>
      <c r="E50" s="234"/>
      <c r="F50" s="234"/>
      <c r="G50" s="234"/>
      <c r="H50" s="234"/>
      <c r="I50" s="234"/>
    </row>
    <row r="51" spans="1:9" ht="15" x14ac:dyDescent="0.35">
      <c r="A51" s="830"/>
      <c r="D51" s="292" t="s">
        <v>798</v>
      </c>
      <c r="E51" s="234"/>
      <c r="F51" s="234"/>
      <c r="G51" s="234"/>
      <c r="H51" s="234"/>
      <c r="I51" s="234"/>
    </row>
    <row r="52" spans="1:9" ht="10.5" customHeight="1" x14ac:dyDescent="0.35">
      <c r="A52" s="830"/>
    </row>
    <row r="53" spans="1:9" ht="15" customHeight="1" x14ac:dyDescent="0.35">
      <c r="A53" s="830"/>
      <c r="C53" s="446" t="s">
        <v>257</v>
      </c>
      <c r="D53" s="268">
        <f t="shared" ref="D53:D70" si="0">G4</f>
        <v>0</v>
      </c>
      <c r="E53" s="446" t="s">
        <v>751</v>
      </c>
      <c r="F53" s="539"/>
    </row>
    <row r="54" spans="1:9" ht="15" customHeight="1" x14ac:dyDescent="0.35">
      <c r="A54" s="830"/>
      <c r="C54" s="446" t="s">
        <v>759</v>
      </c>
      <c r="D54" s="136">
        <f t="shared" si="0"/>
        <v>0</v>
      </c>
      <c r="E54" s="446" t="s">
        <v>752</v>
      </c>
      <c r="F54" s="540"/>
    </row>
    <row r="55" spans="1:9" ht="15" customHeight="1" x14ac:dyDescent="0.35">
      <c r="A55" s="830"/>
      <c r="C55" s="446" t="s">
        <v>760</v>
      </c>
      <c r="D55" s="136">
        <f t="shared" si="0"/>
        <v>0</v>
      </c>
      <c r="E55" s="446" t="s">
        <v>753</v>
      </c>
      <c r="F55" s="28"/>
    </row>
    <row r="56" spans="1:9" ht="15" customHeight="1" x14ac:dyDescent="0.35">
      <c r="A56" s="830"/>
      <c r="C56" s="446" t="s">
        <v>256</v>
      </c>
      <c r="D56" s="268" t="str">
        <f t="shared" si="0"/>
        <v>M</v>
      </c>
      <c r="E56" s="446" t="s">
        <v>791</v>
      </c>
    </row>
    <row r="57" spans="1:9" ht="15" customHeight="1" x14ac:dyDescent="0.35">
      <c r="A57" s="830"/>
      <c r="C57" s="446" t="s">
        <v>252</v>
      </c>
      <c r="D57" s="268" t="str">
        <f t="shared" si="0"/>
        <v>Ib</v>
      </c>
      <c r="E57" s="446" t="s">
        <v>773</v>
      </c>
      <c r="F57" s="118"/>
    </row>
    <row r="58" spans="1:9" ht="15" customHeight="1" x14ac:dyDescent="0.35">
      <c r="A58" s="830"/>
      <c r="C58" s="446" t="s">
        <v>761</v>
      </c>
      <c r="D58" s="268" t="str">
        <f t="shared" si="0"/>
        <v>ja</v>
      </c>
      <c r="E58" s="446" t="s">
        <v>774</v>
      </c>
      <c r="F58" s="118"/>
    </row>
    <row r="59" spans="1:9" ht="15" customHeight="1" x14ac:dyDescent="0.35">
      <c r="A59" s="830"/>
      <c r="C59" s="446" t="s">
        <v>762</v>
      </c>
      <c r="D59" s="268" t="str">
        <f t="shared" si="0"/>
        <v>ja</v>
      </c>
      <c r="E59" s="446" t="s">
        <v>775</v>
      </c>
      <c r="F59" s="118"/>
    </row>
    <row r="60" spans="1:9" ht="15" customHeight="1" x14ac:dyDescent="0.35">
      <c r="A60" s="830"/>
      <c r="C60" s="446" t="s">
        <v>763</v>
      </c>
      <c r="D60" s="268" t="str">
        <f t="shared" si="0"/>
        <v>nein</v>
      </c>
      <c r="E60" s="446" t="s">
        <v>776</v>
      </c>
      <c r="F60" s="118"/>
    </row>
    <row r="61" spans="1:9" ht="15" customHeight="1" x14ac:dyDescent="0.35">
      <c r="A61" s="830"/>
      <c r="C61" s="446" t="s">
        <v>764</v>
      </c>
      <c r="D61" s="268" t="str">
        <f t="shared" si="0"/>
        <v>nein</v>
      </c>
      <c r="E61" s="446" t="s">
        <v>777</v>
      </c>
      <c r="F61" s="118"/>
    </row>
    <row r="62" spans="1:9" ht="15" customHeight="1" x14ac:dyDescent="0.35">
      <c r="A62" s="830"/>
      <c r="C62" s="446" t="s">
        <v>765</v>
      </c>
      <c r="D62" s="268" t="str">
        <f t="shared" si="0"/>
        <v>nein</v>
      </c>
      <c r="E62" s="446" t="s">
        <v>778</v>
      </c>
      <c r="F62" s="118"/>
    </row>
    <row r="63" spans="1:9" ht="15" customHeight="1" x14ac:dyDescent="0.35">
      <c r="A63" s="830"/>
      <c r="C63" s="446" t="s">
        <v>766</v>
      </c>
      <c r="D63" s="136">
        <f t="shared" si="0"/>
        <v>0</v>
      </c>
      <c r="E63" s="446" t="s">
        <v>754</v>
      </c>
      <c r="F63" s="118"/>
    </row>
    <row r="64" spans="1:9" ht="15" customHeight="1" x14ac:dyDescent="0.35">
      <c r="A64" s="830"/>
      <c r="C64" s="446" t="s">
        <v>767</v>
      </c>
      <c r="D64" s="136" t="str">
        <f t="shared" si="0"/>
        <v>nein</v>
      </c>
      <c r="E64" s="446" t="s">
        <v>779</v>
      </c>
      <c r="F64" s="118"/>
    </row>
    <row r="65" spans="1:18" ht="15" customHeight="1" x14ac:dyDescent="0.35">
      <c r="A65" s="830"/>
      <c r="C65" s="446" t="s">
        <v>768</v>
      </c>
      <c r="D65" s="268" t="str">
        <f t="shared" si="0"/>
        <v>ja</v>
      </c>
      <c r="E65" s="446" t="s">
        <v>780</v>
      </c>
      <c r="F65" s="118"/>
    </row>
    <row r="66" spans="1:18" ht="15" customHeight="1" x14ac:dyDescent="0.35">
      <c r="A66" s="830"/>
      <c r="C66" s="446" t="s">
        <v>769</v>
      </c>
      <c r="D66" s="136">
        <f t="shared" si="0"/>
        <v>0</v>
      </c>
      <c r="E66" s="446" t="s">
        <v>755</v>
      </c>
      <c r="F66" s="118"/>
    </row>
    <row r="67" spans="1:18" ht="15" customHeight="1" x14ac:dyDescent="0.35">
      <c r="A67" s="830"/>
      <c r="C67" s="446" t="s">
        <v>254</v>
      </c>
      <c r="D67" s="268">
        <f t="shared" si="0"/>
        <v>0</v>
      </c>
      <c r="E67" s="446" t="s">
        <v>826</v>
      </c>
      <c r="F67" s="118"/>
    </row>
    <row r="68" spans="1:18" ht="15" customHeight="1" x14ac:dyDescent="0.35">
      <c r="A68" s="830"/>
      <c r="C68" s="446" t="s">
        <v>756</v>
      </c>
      <c r="D68" s="268">
        <f t="shared" si="0"/>
        <v>0</v>
      </c>
      <c r="E68" s="446" t="s">
        <v>825</v>
      </c>
      <c r="F68" s="118"/>
    </row>
    <row r="69" spans="1:18" ht="15" customHeight="1" x14ac:dyDescent="0.35">
      <c r="A69" s="830"/>
      <c r="C69" s="446" t="s">
        <v>770</v>
      </c>
      <c r="D69" s="136">
        <f t="shared" si="0"/>
        <v>0</v>
      </c>
      <c r="E69" s="446" t="s">
        <v>757</v>
      </c>
      <c r="F69" s="118"/>
    </row>
    <row r="70" spans="1:18" ht="17.5" x14ac:dyDescent="0.35">
      <c r="A70" s="830"/>
      <c r="C70" s="446" t="s">
        <v>771</v>
      </c>
      <c r="D70" s="136">
        <f t="shared" si="0"/>
        <v>0</v>
      </c>
      <c r="E70" s="446" t="s">
        <v>758</v>
      </c>
      <c r="F70" s="541"/>
    </row>
    <row r="71" spans="1:18" ht="10.5" customHeight="1" x14ac:dyDescent="0.35">
      <c r="A71" s="830"/>
      <c r="K71" s="119"/>
    </row>
    <row r="72" spans="1:18" s="3" customFormat="1" ht="15" customHeight="1" x14ac:dyDescent="0.35">
      <c r="A72" s="830"/>
      <c r="C72" s="29" t="s">
        <v>60</v>
      </c>
      <c r="F72" s="602">
        <f>IF(F28&lt;&gt;0,ROUND(SUM(O4:O9)*IS,2),0)</f>
        <v>0</v>
      </c>
      <c r="J72" s="23"/>
      <c r="K72" s="120"/>
      <c r="L72" s="104"/>
      <c r="M72" s="104"/>
      <c r="N72" s="105"/>
      <c r="O72" s="105"/>
      <c r="P72" s="105"/>
      <c r="Q72" s="105"/>
      <c r="R72" s="105"/>
    </row>
    <row r="73" spans="1:18" s="3" customFormat="1" ht="10.5" customHeight="1" x14ac:dyDescent="0.35">
      <c r="A73" s="830"/>
      <c r="B73"/>
      <c r="C73"/>
      <c r="D73"/>
      <c r="E73"/>
      <c r="F73"/>
      <c r="G73"/>
      <c r="H73"/>
      <c r="I73"/>
      <c r="J73" s="23"/>
      <c r="K73" s="120"/>
      <c r="L73" s="104"/>
      <c r="M73" s="104"/>
      <c r="N73" s="105"/>
      <c r="O73" s="105"/>
      <c r="P73" s="105"/>
      <c r="Q73" s="105"/>
      <c r="R73" s="105"/>
    </row>
    <row r="74" spans="1:18" s="3" customFormat="1" ht="15" customHeight="1" x14ac:dyDescent="0.35">
      <c r="A74" s="830"/>
      <c r="B74"/>
      <c r="C74" s="1" t="str">
        <f>IF(AND(ZuAbschlag&lt;&gt;0,VSK&lt;&gt;0),"Zu-/Abschlag:","")</f>
        <v/>
      </c>
      <c r="D74"/>
      <c r="E74" s="15" t="str">
        <f>IF(AND(ZuAbschlag&lt;&gt;0,VSK&lt;&gt;0),ZuAbschlag,"")</f>
        <v/>
      </c>
      <c r="F74" s="118" t="str">
        <f>IF(AND(ZuAbschlag&lt;&gt;0,VSK&lt;&gt;0),ROUND(ZuAbschlag*F72,2),"")</f>
        <v/>
      </c>
      <c r="G74" t="str">
        <f>IF(AND(NK_1&lt;&gt;0,VSK&lt;&gt;0,F23&lt;&gt;""),CONCATENATE("    ",F23),"")</f>
        <v/>
      </c>
      <c r="H74"/>
      <c r="I74"/>
      <c r="J74" s="23"/>
      <c r="K74" s="120"/>
      <c r="L74" s="104"/>
      <c r="M74" s="104"/>
      <c r="N74" s="105"/>
      <c r="O74" s="105"/>
      <c r="P74" s="105"/>
      <c r="Q74" s="105"/>
      <c r="R74" s="105"/>
    </row>
    <row r="75" spans="1:18" x14ac:dyDescent="0.35">
      <c r="A75" s="830"/>
      <c r="C75" s="1" t="str">
        <f>IF(AND(NK_1&lt;&gt;0,VSK&lt;&gt;0),"Nebenkosten:","")</f>
        <v/>
      </c>
      <c r="F75" s="118" t="str">
        <f>IF(AND(NK_1&lt;&gt;0,VSK&lt;&gt;0),ROUND(NK_1,2),"")</f>
        <v/>
      </c>
      <c r="G75" t="str">
        <f>IF(AND(NK_1&lt;&gt;0,VSK&lt;&gt;0,F24&lt;&gt;""),CONCATENATE("    ",F24),"")</f>
        <v/>
      </c>
      <c r="K75" s="119"/>
    </row>
    <row r="76" spans="1:18" x14ac:dyDescent="0.35">
      <c r="A76" s="830"/>
      <c r="B76" s="3"/>
      <c r="C76" t="str">
        <f>IF(AND(NK_2&lt;&gt;0,VSK&lt;&gt;0),"Amtsgebühren mit Mwst.:","")</f>
        <v/>
      </c>
      <c r="F76" s="118" t="str">
        <f>IF(AND(NK_2&lt;&gt;0,VSK&lt;&gt;0),ROUND(NK_2,2),"")</f>
        <v/>
      </c>
      <c r="G76" t="str">
        <f>IF(AND(NK_2&lt;&gt;0,VSK&lt;&gt;0,F25&lt;&gt;""),CONCATENATE("    ",F25),"")</f>
        <v/>
      </c>
      <c r="I76" s="3"/>
    </row>
    <row r="77" spans="1:18" ht="8.25" customHeight="1" x14ac:dyDescent="0.35">
      <c r="A77" s="830"/>
      <c r="C77" s="78"/>
      <c r="D77" s="78"/>
      <c r="E77" s="78"/>
      <c r="F77" s="151"/>
      <c r="G77" s="78"/>
      <c r="H77" s="78"/>
    </row>
    <row r="78" spans="1:18" x14ac:dyDescent="0.35">
      <c r="A78" s="830"/>
      <c r="C78" t="str">
        <f>IF(E27&gt;0,"Nebenkosten:","")</f>
        <v/>
      </c>
      <c r="F78" s="118" t="str">
        <f>IF(E27&gt;0,ROUND(E27,2),"")</f>
        <v/>
      </c>
    </row>
    <row r="79" spans="1:18" s="16" customFormat="1" ht="15.5" x14ac:dyDescent="0.35">
      <c r="A79" s="830"/>
      <c r="B79"/>
      <c r="C79" s="16" t="s">
        <v>65</v>
      </c>
      <c r="D79" s="110"/>
      <c r="E79" s="110"/>
      <c r="F79" s="113"/>
      <c r="G79" s="842">
        <f>IF(F28=1,SUM(F72:F76),0)</f>
        <v>0</v>
      </c>
      <c r="H79" s="842"/>
      <c r="I79"/>
      <c r="J79" s="21"/>
      <c r="K79" s="106"/>
      <c r="L79" s="107"/>
      <c r="M79" s="107"/>
      <c r="N79" s="108"/>
      <c r="O79" s="108"/>
      <c r="P79" s="108"/>
      <c r="Q79" s="108"/>
      <c r="R79" s="108"/>
    </row>
    <row r="80" spans="1:18" x14ac:dyDescent="0.35">
      <c r="A80" s="830"/>
      <c r="C80" s="30"/>
      <c r="E80" s="28"/>
      <c r="F80" s="118" t="str">
        <f>IF(O26&lt;&gt;0,ROUND(O26,2),"")</f>
        <v/>
      </c>
    </row>
    <row r="81" spans="1:9" ht="15.5" x14ac:dyDescent="0.35">
      <c r="A81" s="830"/>
      <c r="B81" s="16"/>
      <c r="C81" s="500" t="str">
        <f>IF(AND(NK_3&lt;&gt;0,VSK&lt;&gt;0),"zuzügl. Amtsgebühren ohne Mwst.:","")</f>
        <v/>
      </c>
      <c r="D81" s="500"/>
      <c r="E81" s="501"/>
      <c r="F81" s="502" t="str">
        <f>IF(AND(NK_3&lt;&gt;0,VSK&lt;&gt;0),ROUND(NK_3,2),"")</f>
        <v/>
      </c>
      <c r="G81" t="str">
        <f>IF(AND(NK_3&lt;&gt;0,VSK&lt;&gt;0,F26&lt;&gt;""),CONCATENATE("    ",F26),"")</f>
        <v/>
      </c>
      <c r="I81" s="16"/>
    </row>
    <row r="82" spans="1:9" x14ac:dyDescent="0.35">
      <c r="A82" s="830"/>
    </row>
    <row r="83" spans="1:9" x14ac:dyDescent="0.35">
      <c r="G83" s="111"/>
      <c r="H83" s="112"/>
    </row>
  </sheetData>
  <sheetProtection selectLockedCells="1"/>
  <mergeCells count="16">
    <mergeCell ref="A1:A29"/>
    <mergeCell ref="D2:H2"/>
    <mergeCell ref="C40:H40"/>
    <mergeCell ref="A31:A82"/>
    <mergeCell ref="G79:H79"/>
    <mergeCell ref="G28:H28"/>
    <mergeCell ref="B32:I32"/>
    <mergeCell ref="B33:I33"/>
    <mergeCell ref="B34:I34"/>
    <mergeCell ref="B35:I35"/>
    <mergeCell ref="B37:I37"/>
    <mergeCell ref="H31:I31"/>
    <mergeCell ref="F26:H26"/>
    <mergeCell ref="F25:H25"/>
    <mergeCell ref="F24:H24"/>
    <mergeCell ref="F23:H23"/>
  </mergeCells>
  <conditionalFormatting sqref="G14:G15">
    <cfRule type="expression" dxfId="9" priority="5">
      <formula>(s_5=0)</formula>
    </cfRule>
  </conditionalFormatting>
  <conditionalFormatting sqref="G17">
    <cfRule type="expression" dxfId="8" priority="2">
      <formula>(s_7=0)</formula>
    </cfRule>
  </conditionalFormatting>
  <conditionalFormatting sqref="G18:G19">
    <cfRule type="expression" dxfId="7" priority="4">
      <formula>(AND(s_7=0,s_5=0))</formula>
    </cfRule>
  </conditionalFormatting>
  <conditionalFormatting sqref="G20">
    <cfRule type="expression" dxfId="6" priority="1">
      <formula>(s_7=0)</formula>
    </cfRule>
  </conditionalFormatting>
  <conditionalFormatting sqref="H18:H19">
    <cfRule type="expression" dxfId="5" priority="3">
      <formula>(AND(s_7=0,s_5=0))</formula>
    </cfRule>
  </conditionalFormatting>
  <dataValidations count="10">
    <dataValidation type="decimal" operator="greaterThanOrEqual" allowBlank="1" showInputMessage="1" showErrorMessage="1" error="Nur positive Zahlen erlaubt!" sqref="G19" xr:uid="{00000000-0002-0000-0200-000000000000}">
      <formula1>0</formula1>
    </dataValidation>
    <dataValidation type="whole" operator="greaterThanOrEqual" allowBlank="1" showInputMessage="1" showErrorMessage="1" error="Nur positive ganze Zahlen erlaubt!" sqref="G20:G21" xr:uid="{00000000-0002-0000-0200-000001000000}">
      <formula1>0</formula1>
    </dataValidation>
    <dataValidation type="whole" operator="greaterThanOrEqual" allowBlank="1" showInputMessage="1" showErrorMessage="1" error="Nur positive ganze Zahlen &gt;= 2 erlaubt!" sqref="G14" xr:uid="{00000000-0002-0000-0200-000002000000}">
      <formula1>2</formula1>
    </dataValidation>
    <dataValidation type="decimal" operator="greaterThanOrEqual" allowBlank="1" showInputMessage="1" showErrorMessage="1" error="Mindestfläche: 25m2" sqref="G18" xr:uid="{00000000-0002-0000-0200-000003000000}">
      <formula1>1</formula1>
    </dataValidation>
    <dataValidation type="whole" operator="greaterThanOrEqual" allowBlank="1" showInputMessage="1" showErrorMessage="1" error="Nur positive ganze Zahlen erlaubt!" sqref="G17" xr:uid="{00000000-0002-0000-0200-000004000000}">
      <formula1>1</formula1>
    </dataValidation>
    <dataValidation type="whole" operator="greaterThanOrEqual" allowBlank="1" showInputMessage="1" showErrorMessage="1" error="Minimum: 1 Eigentümer!" sqref="G6" xr:uid="{00000000-0002-0000-0200-000005000000}">
      <formula1>1</formula1>
    </dataValidation>
    <dataValidation type="decimal" operator="greaterThanOrEqual" allowBlank="1" showInputMessage="1" showErrorMessage="1" error="Nur positive ganze Zahl erlaubt!" sqref="G4" xr:uid="{00000000-0002-0000-0200-000006000000}">
      <formula1>0</formula1>
    </dataValidation>
    <dataValidation type="whole" operator="greaterThanOrEqual" allowBlank="1" showInputMessage="1" showErrorMessage="1" error="Punktanzahl mindestens 2!" sqref="G5" xr:uid="{00000000-0002-0000-0200-000007000000}">
      <formula1>2</formula1>
    </dataValidation>
    <dataValidation type="whole" operator="greaterThanOrEqual" allowBlank="1" showInputMessage="1" showErrorMessage="1" error="Minimum: 2" sqref="L14" xr:uid="{00000000-0002-0000-0200-000008000000}">
      <formula1>2</formula1>
    </dataValidation>
    <dataValidation type="decimal" operator="greaterThan" showInputMessage="1" showErrorMessage="1" sqref="E23" xr:uid="{00000000-0002-0000-0200-000009000000}">
      <formula1>-1000</formula1>
    </dataValidation>
  </dataValidations>
  <pageMargins left="0.70866141732283472" right="0.39370078740157483" top="0.59055118110236227" bottom="0.59055118110236227" header="0.31496062992125984" footer="0.31496062992125984"/>
  <pageSetup paperSize="9" orientation="portrait" r:id="rId1"/>
  <headerFooter>
    <oddFooter>&amp;L&amp;9&amp;F, &amp;A&amp;R&amp;9&amp;D</oddFooter>
  </headerFooter>
  <ignoredErrors>
    <ignoredError sqref="F81 C81" evalError="1"/>
  </ignoredErrors>
  <legacyDrawing r:id="rId2"/>
  <legacyDrawingHF r:id="rId3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error="Daten aus Dropdown-Liste auswählen" xr:uid="{00000000-0002-0000-0200-00000A000000}">
          <x14:formula1>
            <xm:f>Konstante!$F$3:$F$5</xm:f>
          </x14:formula1>
          <xm:sqref>G7</xm:sqref>
        </x14:dataValidation>
        <x14:dataValidation type="list" allowBlank="1" showInputMessage="1" showErrorMessage="1" error="Daten aus Dropdown-Liste auswählen" xr:uid="{00000000-0002-0000-0200-00000B000000}">
          <x14:formula1>
            <xm:f>Konstante!$C$3:$C$11</xm:f>
          </x14:formula1>
          <xm:sqref>G8</xm:sqref>
        </x14:dataValidation>
        <x14:dataValidation type="list" allowBlank="1" showInputMessage="1" showErrorMessage="1" error="Daten aus Dropdown-Liste auswählen!" xr:uid="{00000000-0002-0000-0200-00000C000000}">
          <x14:formula1>
            <xm:f>Konstante!$J$3:$J$4</xm:f>
          </x14:formula1>
          <xm:sqref>G9:G11 G13 G15:G16</xm:sqref>
        </x14:dataValidation>
        <x14:dataValidation type="list" allowBlank="1" showInputMessage="1" showErrorMessage="1" error="Daten aus Dropdown-Liste auswählen!" xr:uid="{00000000-0002-0000-0200-00000D000000}">
          <x14:formula1>
            <xm:f>Konstante!$M$3:$M$6</xm:f>
          </x14:formula1>
          <xm:sqref>G12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5"/>
  <dimension ref="A1:S69"/>
  <sheetViews>
    <sheetView topLeftCell="A13" workbookViewId="0">
      <selection activeCell="H4" sqref="H4"/>
    </sheetView>
  </sheetViews>
  <sheetFormatPr baseColWidth="10" defaultRowHeight="14.5" x14ac:dyDescent="0.35"/>
  <cols>
    <col min="1" max="1" width="4" customWidth="1"/>
    <col min="2" max="2" width="6.7265625" customWidth="1"/>
    <col min="3" max="8" width="12.7265625" customWidth="1"/>
    <col min="9" max="9" width="5.7265625" customWidth="1"/>
  </cols>
  <sheetData>
    <row r="1" spans="1:19" ht="15.5" x14ac:dyDescent="0.35">
      <c r="A1" s="833" t="s">
        <v>35</v>
      </c>
      <c r="B1" s="45"/>
      <c r="C1" s="45"/>
      <c r="D1" s="45"/>
      <c r="E1" s="45"/>
      <c r="F1" s="45"/>
      <c r="G1" s="45"/>
      <c r="H1" s="45"/>
      <c r="I1" s="45"/>
      <c r="K1" s="93" t="s">
        <v>699</v>
      </c>
      <c r="L1" s="93"/>
      <c r="M1" s="93"/>
      <c r="N1" s="94">
        <f ca="1">CELL("ZEILE",B27)</f>
        <v>27</v>
      </c>
    </row>
    <row r="2" spans="1:19" ht="23.5" x14ac:dyDescent="0.35">
      <c r="A2" s="833"/>
      <c r="B2" s="46"/>
      <c r="C2" s="47" t="s">
        <v>36</v>
      </c>
      <c r="D2" s="864" t="s">
        <v>83</v>
      </c>
      <c r="E2" s="865"/>
      <c r="F2" s="865"/>
      <c r="G2" s="865"/>
      <c r="H2" s="866"/>
      <c r="I2" s="45"/>
      <c r="K2" s="175" t="s">
        <v>700</v>
      </c>
      <c r="L2" s="155"/>
      <c r="M2" s="155"/>
      <c r="N2" s="175">
        <f ca="1">CELL("ZEILE",G60)</f>
        <v>60</v>
      </c>
    </row>
    <row r="3" spans="1:19" ht="23.5" x14ac:dyDescent="0.35">
      <c r="A3" s="833"/>
      <c r="B3" s="46"/>
      <c r="C3" s="47"/>
      <c r="D3" s="58"/>
      <c r="E3" s="59"/>
      <c r="F3" s="59"/>
      <c r="G3" s="59"/>
      <c r="H3" s="60"/>
      <c r="I3" s="45"/>
      <c r="K3" s="175" t="s">
        <v>701</v>
      </c>
      <c r="L3" s="155"/>
      <c r="M3" s="155"/>
      <c r="N3" s="175">
        <f>F19</f>
        <v>0</v>
      </c>
    </row>
    <row r="4" spans="1:19" ht="15.5" x14ac:dyDescent="0.35">
      <c r="A4" s="833"/>
      <c r="B4" s="46"/>
      <c r="C4" s="47" t="s">
        <v>285</v>
      </c>
      <c r="D4" s="47"/>
      <c r="E4" s="48"/>
      <c r="F4" s="49"/>
      <c r="G4" s="49"/>
      <c r="H4" s="267"/>
      <c r="I4" s="45"/>
      <c r="K4" s="254" t="s">
        <v>284</v>
      </c>
      <c r="L4" s="254"/>
      <c r="M4" s="259">
        <f>IF(H4&lt;=600,1,2)</f>
        <v>1</v>
      </c>
      <c r="N4" s="254" t="s">
        <v>283</v>
      </c>
      <c r="O4" s="254"/>
      <c r="P4" s="254"/>
      <c r="Q4" s="254"/>
      <c r="R4" s="254"/>
      <c r="S4" s="254"/>
    </row>
    <row r="5" spans="1:19" ht="15.5" x14ac:dyDescent="0.35">
      <c r="A5" s="833"/>
      <c r="B5" s="46"/>
      <c r="C5" s="50" t="s">
        <v>282</v>
      </c>
      <c r="D5" s="50"/>
      <c r="E5" s="50"/>
      <c r="F5" s="50"/>
      <c r="G5" s="50"/>
      <c r="H5" s="56" t="str">
        <f>IF(H4&lt;=600,"tachymetrisch","GNSS")</f>
        <v>tachymetrisch</v>
      </c>
      <c r="I5" s="45"/>
      <c r="K5" s="254"/>
      <c r="L5" s="254"/>
      <c r="M5" s="254"/>
      <c r="N5" s="254"/>
      <c r="O5" s="254"/>
      <c r="P5" s="254"/>
      <c r="Q5" s="254"/>
      <c r="R5" s="254"/>
      <c r="S5" s="254"/>
    </row>
    <row r="6" spans="1:19" ht="15.5" x14ac:dyDescent="0.35">
      <c r="A6" s="833"/>
      <c r="B6" s="46"/>
      <c r="C6" s="47" t="s">
        <v>281</v>
      </c>
      <c r="D6" s="47"/>
      <c r="E6" s="51"/>
      <c r="F6" s="51"/>
      <c r="G6" s="48"/>
      <c r="H6" s="261">
        <f>IF(H4&lt;=600,4,1)</f>
        <v>4</v>
      </c>
      <c r="I6" s="45"/>
      <c r="K6" s="254" t="s">
        <v>280</v>
      </c>
      <c r="L6" s="254"/>
      <c r="M6" s="254"/>
      <c r="N6" s="254"/>
      <c r="O6" s="254"/>
      <c r="P6" s="254"/>
      <c r="Q6" s="254"/>
      <c r="R6" s="254"/>
      <c r="S6" s="254"/>
    </row>
    <row r="7" spans="1:19" ht="15.5" x14ac:dyDescent="0.35">
      <c r="A7" s="833"/>
      <c r="B7" s="46"/>
      <c r="C7" s="47" t="s">
        <v>279</v>
      </c>
      <c r="D7" s="47"/>
      <c r="E7" s="49"/>
      <c r="F7" s="49"/>
      <c r="G7" s="266" t="str">
        <f>IF(n&lt;H6,"Mindestanzahl beachten &gt;&gt;&gt;","")</f>
        <v>Mindestanzahl beachten &gt;&gt;&gt;</v>
      </c>
      <c r="H7" s="265"/>
      <c r="I7" s="45"/>
      <c r="K7" s="254" t="s">
        <v>278</v>
      </c>
      <c r="L7" s="254"/>
      <c r="M7" s="254"/>
      <c r="N7" s="254"/>
      <c r="O7" s="254"/>
      <c r="P7" s="254"/>
      <c r="Q7" s="254"/>
      <c r="R7" s="254"/>
      <c r="S7" s="254"/>
    </row>
    <row r="8" spans="1:19" ht="19.5" customHeight="1" x14ac:dyDescent="0.35">
      <c r="A8" s="833"/>
      <c r="B8" s="46"/>
      <c r="C8" s="264" t="s">
        <v>277</v>
      </c>
      <c r="D8" s="47"/>
      <c r="E8" s="263"/>
      <c r="F8" s="262"/>
      <c r="G8" s="262"/>
      <c r="H8" s="261"/>
      <c r="I8" s="45"/>
      <c r="K8" s="254"/>
      <c r="L8" s="254"/>
      <c r="M8" s="254"/>
      <c r="N8" s="254"/>
      <c r="O8" s="254"/>
      <c r="P8" s="254"/>
      <c r="Q8" s="254"/>
      <c r="R8" s="254"/>
      <c r="S8" s="254"/>
    </row>
    <row r="9" spans="1:19" ht="15.5" x14ac:dyDescent="0.35">
      <c r="A9" s="833"/>
      <c r="B9" s="46"/>
      <c r="C9" s="72" t="s">
        <v>276</v>
      </c>
      <c r="D9" s="46">
        <f>VLOOKUP(E9,Konstante!C22:G25,5,FALSE)</f>
        <v>1</v>
      </c>
      <c r="E9" s="858" t="s">
        <v>275</v>
      </c>
      <c r="F9" s="859"/>
      <c r="G9" s="859"/>
      <c r="H9" s="860"/>
      <c r="I9" s="426" t="str">
        <f>IF(OR(AND(Messmet=Konstante!C31,E9=Konstante!C24),AND(Messmet=Konstante!C31,E9=Konstante!C25),AND(Messmet=Konstante!C32,E9=Konstante!C22),AND(Messmet=Konstante!C32,E9=Konstante!C23),),"&lt;&lt;&lt;&lt;","")</f>
        <v/>
      </c>
      <c r="K9" s="260"/>
      <c r="L9" s="253"/>
      <c r="N9" s="254"/>
      <c r="O9" s="254"/>
      <c r="P9" s="254"/>
      <c r="Q9" s="254"/>
      <c r="R9" s="254"/>
      <c r="S9" s="254"/>
    </row>
    <row r="10" spans="1:19" ht="15.75" customHeight="1" x14ac:dyDescent="0.35">
      <c r="A10" s="833"/>
      <c r="B10" s="46"/>
      <c r="C10" s="258" t="s">
        <v>274</v>
      </c>
      <c r="D10" s="52"/>
      <c r="E10" s="52"/>
      <c r="F10" s="52"/>
      <c r="G10" s="72" t="s">
        <v>261</v>
      </c>
      <c r="H10" s="257">
        <v>1</v>
      </c>
      <c r="I10" s="46"/>
      <c r="K10" s="254"/>
      <c r="L10" s="254"/>
      <c r="M10" s="254"/>
      <c r="N10" s="254"/>
      <c r="O10" s="254"/>
      <c r="P10" s="254"/>
      <c r="Q10" s="254"/>
      <c r="R10" s="254"/>
      <c r="S10" s="254"/>
    </row>
    <row r="11" spans="1:19" ht="21" customHeight="1" x14ac:dyDescent="0.35">
      <c r="A11" s="833"/>
      <c r="B11" s="46"/>
      <c r="C11" s="861" t="str">
        <f>IF(E&lt;1.2,"Punkte ohne größere Umwege und ohne längere Fußwege erreichbar","Punkte über größere Umwege und/oder längere Fußwege erreichbar")</f>
        <v>Punkte ohne größere Umwege und ohne längere Fußwege erreichbar</v>
      </c>
      <c r="D11" s="862"/>
      <c r="E11" s="862"/>
      <c r="F11" s="862"/>
      <c r="G11" s="862"/>
      <c r="H11" s="863"/>
      <c r="I11" s="46"/>
      <c r="K11" s="254" t="str">
        <f>Messmet</f>
        <v>tachymetrisch</v>
      </c>
      <c r="L11" s="254"/>
      <c r="M11" s="254">
        <f>IF(Messmet="tachymetrisch",Konstante!J23,Konstante!Q$23)</f>
        <v>100</v>
      </c>
      <c r="N11" s="254">
        <f>IF(Messmet="tachymetrisch",Konstante!K23,Konstante!R$23)</f>
        <v>200</v>
      </c>
      <c r="O11" s="254">
        <f>IF(Messmet="tachymetrisch",Konstante!L23,Konstante!S$23)</f>
        <v>300</v>
      </c>
      <c r="P11" s="254">
        <f>IF(Messmet="tachymetrisch",Konstante!M23,Konstante!T$23)</f>
        <v>400</v>
      </c>
      <c r="Q11" s="254">
        <f>IF(Messmet="tachymetrisch",Konstante!N23,Konstante!U$23)</f>
        <v>600</v>
      </c>
      <c r="R11" s="254"/>
      <c r="S11" s="254"/>
    </row>
    <row r="12" spans="1:19" ht="15.5" x14ac:dyDescent="0.35">
      <c r="A12" s="833"/>
      <c r="B12" s="46"/>
      <c r="C12" s="47" t="s">
        <v>273</v>
      </c>
      <c r="D12" s="52"/>
      <c r="E12" s="257" t="s">
        <v>271</v>
      </c>
      <c r="F12" s="52"/>
      <c r="G12" s="72" t="s">
        <v>260</v>
      </c>
      <c r="H12" s="256">
        <f>VLOOKUP(E12,Konstante!C28:D29,2,FALSE)</f>
        <v>1</v>
      </c>
      <c r="I12" s="46"/>
      <c r="K12" s="254" t="s">
        <v>268</v>
      </c>
      <c r="L12" s="254"/>
      <c r="M12" s="254" t="e">
        <f>IF(Messmet="tachymetrisch",VLOOKUP(n,Konstante!$I$24:$N$27,2,TRUE),Konstante!Q$24)</f>
        <v>#N/A</v>
      </c>
      <c r="N12" s="254" t="e">
        <f>IF(Messmet="tachymetrisch",VLOOKUP(n,Konstante!$I$24:$N$27,3,TRUE),Konstante!R$24)</f>
        <v>#N/A</v>
      </c>
      <c r="O12" s="254" t="e">
        <f>IF(Messmet="tachymetrisch",VLOOKUP(n,Konstante!$I$24:$N$27,4,TRUE),Konstante!S$24)</f>
        <v>#N/A</v>
      </c>
      <c r="P12" s="254" t="e">
        <f>IF(Messmet="tachymetrisch",VLOOKUP(n,Konstante!$I$24:$N$27,5,TRUE),Konstante!T$24)</f>
        <v>#N/A</v>
      </c>
      <c r="Q12" s="254" t="e">
        <f>IF(Messmet="tachymetrisch",VLOOKUP(n,Konstante!$I$24:$N$27,6,TRUE),Konstante!U$24)</f>
        <v>#N/A</v>
      </c>
      <c r="R12" s="254"/>
      <c r="S12" s="254"/>
    </row>
    <row r="13" spans="1:19" ht="15.5" x14ac:dyDescent="0.35">
      <c r="A13" s="833"/>
      <c r="B13" s="45"/>
      <c r="C13" s="47" t="s">
        <v>272</v>
      </c>
      <c r="D13" s="52"/>
      <c r="E13" s="257" t="s">
        <v>479</v>
      </c>
      <c r="F13" s="52"/>
      <c r="G13" s="72" t="s">
        <v>270</v>
      </c>
      <c r="H13" s="256">
        <f>IF(H5="tachymetrisch",VLOOKUP(E13,Konstante!E28:F29,2,FALSE),1)</f>
        <v>1.2</v>
      </c>
      <c r="I13" s="46"/>
      <c r="K13" s="254" t="s">
        <v>267</v>
      </c>
      <c r="L13" s="254"/>
      <c r="M13" s="254">
        <f>IF(Messmet="tachymetrisch",Konstante!J28,Konstante!Q$25)</f>
        <v>11.74</v>
      </c>
      <c r="N13" s="254">
        <f>IF(Messmet="tachymetrisch",Konstante!K28,Konstante!R$25)</f>
        <v>14.54</v>
      </c>
      <c r="O13" s="254">
        <f>IF(Messmet="tachymetrisch",Konstante!L28,Konstante!S$25)</f>
        <v>16.23</v>
      </c>
      <c r="P13" s="254">
        <f>IF(Messmet="tachymetrisch",Konstante!M28,Konstante!T$25)</f>
        <v>17.32</v>
      </c>
      <c r="Q13" s="254">
        <f>IF(Messmet="tachymetrisch",Konstante!N28,Konstante!U$25)</f>
        <v>18.12</v>
      </c>
      <c r="R13" s="254"/>
      <c r="S13" s="254"/>
    </row>
    <row r="14" spans="1:19" ht="15.5" x14ac:dyDescent="0.35">
      <c r="A14" s="833"/>
      <c r="B14" s="46"/>
      <c r="C14" s="425" t="str">
        <f>IF(Messmet=Konstante!C32, "h hat keine Relevanz!","")</f>
        <v/>
      </c>
      <c r="D14" s="47"/>
      <c r="E14" s="53"/>
      <c r="F14" s="47"/>
      <c r="G14" s="46"/>
      <c r="H14" s="46"/>
      <c r="I14" s="47"/>
      <c r="K14" s="254"/>
      <c r="L14" s="254"/>
      <c r="M14" s="254"/>
      <c r="N14" s="254"/>
      <c r="O14" s="254"/>
      <c r="P14" s="254"/>
      <c r="Q14" s="254"/>
      <c r="R14" s="254"/>
      <c r="S14" s="254"/>
    </row>
    <row r="15" spans="1:19" ht="15.5" x14ac:dyDescent="0.35">
      <c r="A15" s="833"/>
      <c r="B15" s="46"/>
      <c r="C15" s="317"/>
      <c r="D15" s="318"/>
      <c r="E15" s="317"/>
      <c r="F15" s="319"/>
      <c r="G15" s="592" t="s">
        <v>633</v>
      </c>
      <c r="H15" s="319"/>
      <c r="I15" s="47"/>
      <c r="K15" s="254" t="s">
        <v>269</v>
      </c>
      <c r="L15" s="254"/>
      <c r="M15" s="254">
        <f>IF(PktAbst&gt;M11,IF(PktAbst&gt;N11,IF(PktAbst&gt;O11,IF(PktAbst&gt;P11,IF(PktAbst&gt;Q11,Q11,P11),O11),N11),M11),M11)</f>
        <v>100</v>
      </c>
      <c r="N15" s="254">
        <f>IF(PktAbst&gt;M11,IF(PktAbst&gt;N11,IF(PktAbst&gt;O11,IF(PktAbst&gt;P11,Q11,P11),O11),N11),M11)</f>
        <v>100</v>
      </c>
      <c r="O15" s="254"/>
      <c r="P15" s="255">
        <f>IF(PktAbst&lt;=M15,0,IF(PktAbst&gt;=N15,1,((PktAbst-M15)/(N15-M15))))</f>
        <v>0</v>
      </c>
      <c r="Q15" s="254"/>
      <c r="R15" s="254"/>
      <c r="S15" s="254"/>
    </row>
    <row r="16" spans="1:19" ht="15.5" x14ac:dyDescent="0.35">
      <c r="A16" s="833"/>
      <c r="B16" s="46"/>
      <c r="C16" s="47" t="s">
        <v>34</v>
      </c>
      <c r="D16" s="47"/>
      <c r="E16" s="320"/>
      <c r="F16" s="47"/>
      <c r="G16" s="868"/>
      <c r="H16" s="869"/>
      <c r="I16" s="154"/>
      <c r="K16" s="254" t="s">
        <v>268</v>
      </c>
      <c r="L16" s="254"/>
      <c r="M16" s="254" t="e">
        <f>IF(PktAbst&gt;M11,IF(PktAbst&gt;N11,IF(PktAbst&gt;O11,IF(PktAbst&gt;P11,IF(PktAbst&gt;Q11,Q12,P12),O12),N12),M12),M12)</f>
        <v>#N/A</v>
      </c>
      <c r="N16" s="254" t="e">
        <f>IF(PktAbst&gt;M11,IF(PktAbst&gt;N11,IF(PktAbst&gt;O11,IF(PktAbst&gt;P11,Q12,P12),O12),N12),M12)</f>
        <v>#N/A</v>
      </c>
      <c r="O16" s="254"/>
      <c r="P16" s="255" t="e">
        <f>M16+(N16-M16)*P$15</f>
        <v>#N/A</v>
      </c>
      <c r="Q16" s="254"/>
      <c r="R16" s="254"/>
      <c r="S16" s="254"/>
    </row>
    <row r="17" spans="1:19" ht="15.5" x14ac:dyDescent="0.35">
      <c r="A17" s="833"/>
      <c r="B17" s="46"/>
      <c r="C17" s="47" t="s">
        <v>1</v>
      </c>
      <c r="D17" s="47"/>
      <c r="E17" s="321"/>
      <c r="F17" s="47"/>
      <c r="G17" s="867"/>
      <c r="H17" s="867"/>
      <c r="I17" s="154"/>
      <c r="K17" s="254" t="s">
        <v>267</v>
      </c>
      <c r="L17" s="254"/>
      <c r="M17" s="254">
        <f>IF(PktAbst&gt;M11,IF(PktAbst&gt;N11,IF(PktAbst&gt;O11,IF(PktAbst&gt;P11,IF(PktAbst&gt;Q11,Q13,P13),O13),N13),M13),M13)</f>
        <v>11.74</v>
      </c>
      <c r="N17" s="254">
        <f>IF(PktAbst&gt;M11,IF(PktAbst&gt;N11,IF(PktAbst&gt;O11,IF(PktAbst&gt;P13,Q13,P13),O13),N13),M13)</f>
        <v>11.74</v>
      </c>
      <c r="O17" s="254"/>
      <c r="P17" s="255">
        <f>M17+(N17-M17)*P$15</f>
        <v>11.74</v>
      </c>
      <c r="Q17" s="254">
        <f>IF(Messmet="tachymetrisch",IF(n&gt;7,n-7,0),IF(n&gt;1,n-1,0))</f>
        <v>0</v>
      </c>
      <c r="R17" s="253" t="s">
        <v>264</v>
      </c>
      <c r="S17" s="252">
        <f>IF(VSK&gt;0,P16+Q17*P17,0)</f>
        <v>0</v>
      </c>
    </row>
    <row r="18" spans="1:19" ht="15.5" x14ac:dyDescent="0.35">
      <c r="A18" s="833"/>
      <c r="B18" s="46"/>
      <c r="C18" s="47"/>
      <c r="D18" s="47"/>
      <c r="E18" s="585"/>
      <c r="F18" s="588"/>
      <c r="G18" s="589"/>
      <c r="H18" s="589"/>
      <c r="I18" s="45"/>
    </row>
    <row r="19" spans="1:19" ht="21" x14ac:dyDescent="0.5">
      <c r="A19" s="833"/>
      <c r="B19" s="45"/>
      <c r="C19" s="54" t="str">
        <f>IF(F19=0, "UNVOLLSTÄNDIG AUSGEFÜLLT!","")</f>
        <v>UNVOLLSTÄNDIG AUSGEFÜLLT!</v>
      </c>
      <c r="D19" s="45"/>
      <c r="E19" s="45"/>
      <c r="F19" s="451">
        <f>IF(AND(ISNUMBER(H4),ISNUMBER(H7),E9&lt;&gt;"",ISNUMBER(E),ISNUMBER(W),ISNUMBER(h),n&gt;=H6),1,0)</f>
        <v>0</v>
      </c>
      <c r="G19" s="852" t="str">
        <f>IF(VSK&lt;&gt;0, G60,"")</f>
        <v/>
      </c>
      <c r="H19" s="852"/>
      <c r="I19" s="45"/>
    </row>
    <row r="20" spans="1:19" ht="15.5" x14ac:dyDescent="0.35">
      <c r="A20" s="833"/>
      <c r="B20" s="45"/>
      <c r="C20" s="45"/>
      <c r="D20" s="45"/>
      <c r="E20" s="45"/>
      <c r="F20" s="45"/>
      <c r="G20" s="45"/>
      <c r="H20" s="45"/>
      <c r="I20" s="45"/>
    </row>
    <row r="21" spans="1:19" ht="15.5" x14ac:dyDescent="0.35">
      <c r="A21" s="830" t="s">
        <v>66</v>
      </c>
      <c r="I21" s="577" t="str">
        <f ca="1">IF(VLOOKUP(B27,CHOOSE({5,4,3,2,1},Gesamt!L32:L65,Gesamt!M32:M65,Gesamt!N32:N65,Gesamt!O32:O65,Gesamt!P32:P65,),4,0)&gt;0,CONCATENATE("Pos. ",VLOOKUP(B27,CHOOSE({5,4,3,2,1},Gesamt!L32:L65,Gesamt!M32:M65,Gesamt!N32:N65,Gesamt!O32:O65,Gesamt!P32:P65,),VLOOKUP(Gesamt!C19,Gesamt!L5:N7,3,0),0)),"")</f>
        <v/>
      </c>
    </row>
    <row r="22" spans="1:19" x14ac:dyDescent="0.35">
      <c r="A22" s="830"/>
      <c r="C22" s="831" t="str">
        <f>CONCATENATE(Gesamt!C2, ": ", Gesamt!E2)</f>
        <v xml:space="preserve">Projekt: </v>
      </c>
      <c r="D22" s="831"/>
      <c r="E22" s="831"/>
      <c r="F22" s="831"/>
      <c r="G22" s="831"/>
      <c r="H22" s="831"/>
      <c r="I22" s="409"/>
    </row>
    <row r="23" spans="1:19" x14ac:dyDescent="0.35">
      <c r="A23" s="830"/>
      <c r="C23" s="832" t="str">
        <f>CONCATENATE(Gesamt!C4, ": ", Gesamt!E4, IF(Gesamt!E5&lt;&gt;""," - ",""), IF(Gesamt!E5&lt;&gt;"",Gesamt!E5,""), IF(Gesamt!E6&lt;&gt;""," - GZ. ",""), IF(Gesamt!E6&lt;&gt;"",Gesamt!E6,""),)</f>
        <v xml:space="preserve">Auftraggeber: </v>
      </c>
      <c r="D23" s="832"/>
      <c r="E23" s="832"/>
      <c r="F23" s="832"/>
      <c r="G23" s="832"/>
      <c r="H23" s="832"/>
    </row>
    <row r="24" spans="1:19" x14ac:dyDescent="0.35">
      <c r="A24" s="830"/>
      <c r="C24" s="832" t="str">
        <f>CONCATENATE(Gesamt!C9, ": ",Gesamt!E9,  IF(Gesamt!C10&lt;&gt;""," - ",""), IF(Gesamt!C10&lt;&gt;"",Gesamt!E10,""), IF(Gesamt!C11&lt;&gt;""," - GZ. ",""), IF(Gesamt!C11&lt;&gt;"",Gesamt!E11,""), )</f>
        <v xml:space="preserve">Bieter:  -  - GZ. </v>
      </c>
      <c r="D24" s="832"/>
      <c r="E24" s="832"/>
      <c r="F24" s="832"/>
      <c r="G24" s="832"/>
      <c r="H24" s="832"/>
      <c r="I24" s="28"/>
    </row>
    <row r="25" spans="1:19" x14ac:dyDescent="0.35">
      <c r="A25" s="830"/>
      <c r="C25" s="832" t="s">
        <v>41</v>
      </c>
      <c r="D25" s="832"/>
      <c r="E25" s="832"/>
      <c r="F25" s="832"/>
      <c r="G25" s="832"/>
      <c r="H25" s="832"/>
      <c r="I25" s="234"/>
    </row>
    <row r="26" spans="1:19" x14ac:dyDescent="0.35">
      <c r="A26" s="830"/>
      <c r="K26" s="28"/>
      <c r="M26" s="576"/>
    </row>
    <row r="27" spans="1:19" ht="18.5" x14ac:dyDescent="0.35">
      <c r="A27" s="830"/>
      <c r="B27" s="843" t="str">
        <f>IF(Messmet=Konstante!C31,CONCATENATE(D2," - tachymetrisch"),CONCATENATE(D2," - GNSS"))</f>
        <v>Ingenieurgeodätische Netzmessung - tachymetrisch</v>
      </c>
      <c r="C27" s="843"/>
      <c r="D27" s="843"/>
      <c r="E27" s="843"/>
      <c r="F27" s="843"/>
      <c r="G27" s="843"/>
      <c r="H27" s="843"/>
      <c r="I27" s="843"/>
    </row>
    <row r="28" spans="1:19" x14ac:dyDescent="0.35">
      <c r="A28" s="830"/>
    </row>
    <row r="29" spans="1:19" x14ac:dyDescent="0.35">
      <c r="A29" s="830"/>
      <c r="C29" t="str">
        <f>IF(Messmet=Konstante!C31,"LB_VG, Pos. 4.1.1, Ingenieurgeodätische Netzmessung","LB_VG, Pos. 4.1.2, Ingenieurgeodätische Netzmessung")</f>
        <v>LB_VG, Pos. 4.1.1, Ingenieurgeodätische Netzmessung</v>
      </c>
    </row>
    <row r="30" spans="1:19" x14ac:dyDescent="0.35">
      <c r="A30" s="830"/>
      <c r="C30" t="str">
        <f>IF(Messmet="tachymetrisch",Konstante!E31,Konstante!E32)</f>
        <v xml:space="preserve">Bearbeitungsaufwand von Netzen mit durchschnittlichem Punktabstand von max. 600m </v>
      </c>
    </row>
    <row r="31" spans="1:19" x14ac:dyDescent="0.35">
      <c r="A31" s="830"/>
    </row>
    <row r="32" spans="1:19" x14ac:dyDescent="0.35">
      <c r="A32" s="830"/>
      <c r="C32" t="s">
        <v>959</v>
      </c>
      <c r="E32" s="118">
        <f>IS</f>
        <v>0</v>
      </c>
    </row>
    <row r="33" spans="1:11" x14ac:dyDescent="0.35">
      <c r="A33" s="830"/>
    </row>
    <row r="34" spans="1:11" x14ac:dyDescent="0.35">
      <c r="A34" s="830"/>
      <c r="C34" s="30" t="str">
        <f>IF(Messmet="tachymetrisch",Konstante!M31,Konstante!M32)</f>
        <v>H = (A * G * E * W * h * IS) + N</v>
      </c>
    </row>
    <row r="35" spans="1:11" x14ac:dyDescent="0.35">
      <c r="A35" s="830"/>
    </row>
    <row r="36" spans="1:11" x14ac:dyDescent="0.35">
      <c r="A36" s="830"/>
      <c r="D36" s="109">
        <f>PktAbst</f>
        <v>0</v>
      </c>
      <c r="E36" t="s">
        <v>596</v>
      </c>
      <c r="K36" t="str">
        <f ca="1">IF(VLOOKUP(B27,CHOOSE({5,4,3,2,1},Gesamt!L32:L65,Gesamt!M32:M65,Gesamt!N32:N65,Gesamt!O32:O65,Gesamt!P32:P65,),4,0)&gt;0,CONCATENATE("Pos. ",VLOOKUP(B27,CHOOSE({5,4,3,2,1},Gesamt!L32:L65,Gesamt!M32:M65,Gesamt!N32:N65,Gesamt!O32:O65,Gesamt!P32:P65,),VLOOKUP(Gesamt!C19,Gesamt!L5:N7,3,0),0)),"")</f>
        <v/>
      </c>
    </row>
    <row r="37" spans="1:11" x14ac:dyDescent="0.35">
      <c r="A37" s="830"/>
    </row>
    <row r="38" spans="1:11" x14ac:dyDescent="0.35">
      <c r="A38" s="830"/>
      <c r="C38" t="s">
        <v>266</v>
      </c>
      <c r="D38" s="1">
        <f>n</f>
        <v>0</v>
      </c>
      <c r="E38" t="s">
        <v>265</v>
      </c>
    </row>
    <row r="39" spans="1:11" x14ac:dyDescent="0.35">
      <c r="A39" s="830"/>
      <c r="C39" t="s">
        <v>264</v>
      </c>
      <c r="D39" s="1">
        <f>IF(ISERROR(A), 0,A)</f>
        <v>0</v>
      </c>
      <c r="E39" t="s">
        <v>263</v>
      </c>
    </row>
    <row r="40" spans="1:11" x14ac:dyDescent="0.35">
      <c r="A40" s="830"/>
      <c r="C40" t="s">
        <v>262</v>
      </c>
      <c r="D40" s="1">
        <f>G</f>
        <v>1</v>
      </c>
      <c r="E40" t="str">
        <f>CONCATENATE("Standardabweichung: ",E9)</f>
        <v>Standardabweichung: L=(2mm+8mm/km) H=(5mm+10mm/km)</v>
      </c>
    </row>
    <row r="41" spans="1:11" x14ac:dyDescent="0.35">
      <c r="A41" s="830"/>
      <c r="C41" t="s">
        <v>261</v>
      </c>
      <c r="D41" s="1">
        <f>E</f>
        <v>1</v>
      </c>
      <c r="E41" t="str">
        <f>IF(E&gt;1,"außerordentliche Erschwernisse","")</f>
        <v/>
      </c>
    </row>
    <row r="42" spans="1:11" x14ac:dyDescent="0.35">
      <c r="A42" s="830"/>
      <c r="C42" t="s">
        <v>260</v>
      </c>
      <c r="D42" s="1">
        <f>W</f>
        <v>1</v>
      </c>
      <c r="E42" t="str">
        <f>IF(W&gt;=1, "Erstmessung", "Wiederholungsmessung")</f>
        <v>Erstmessung</v>
      </c>
    </row>
    <row r="43" spans="1:11" x14ac:dyDescent="0.35">
      <c r="A43" s="830"/>
      <c r="C43" t="str">
        <f>IF(h&gt;1,"h = ","")</f>
        <v xml:space="preserve">h = </v>
      </c>
      <c r="D43" s="1">
        <f>IF(h&lt;&gt;1,h,"")</f>
        <v>1.2</v>
      </c>
      <c r="E43" t="str">
        <f>IF(h&gt;1,"zusätzliche Höhenmessung ","")</f>
        <v xml:space="preserve">zusätzliche Höhenmessung </v>
      </c>
    </row>
    <row r="44" spans="1:11" x14ac:dyDescent="0.35">
      <c r="A44" s="830"/>
      <c r="H44" s="3"/>
      <c r="I44" s="3"/>
    </row>
    <row r="45" spans="1:11" x14ac:dyDescent="0.35">
      <c r="A45" s="830"/>
    </row>
    <row r="46" spans="1:11" x14ac:dyDescent="0.35">
      <c r="A46" s="830"/>
      <c r="C46" s="3" t="s">
        <v>60</v>
      </c>
      <c r="D46" s="3"/>
      <c r="E46" s="3"/>
      <c r="F46" s="22">
        <f>IF(h&gt;1,PRODUCT(D39,D40,D41,D42,D43,E32),PRODUCT(D39,D40,D41,D42,E32))</f>
        <v>0</v>
      </c>
      <c r="G46" s="3"/>
    </row>
    <row r="47" spans="1:11" x14ac:dyDescent="0.35">
      <c r="A47" s="830"/>
    </row>
    <row r="48" spans="1:11" x14ac:dyDescent="0.35">
      <c r="A48" s="830"/>
      <c r="B48" s="3"/>
    </row>
    <row r="49" spans="1:9" x14ac:dyDescent="0.35">
      <c r="A49" s="830"/>
    </row>
    <row r="50" spans="1:9" x14ac:dyDescent="0.35">
      <c r="A50" s="830"/>
    </row>
    <row r="51" spans="1:9" x14ac:dyDescent="0.35">
      <c r="A51" s="830"/>
    </row>
    <row r="52" spans="1:9" x14ac:dyDescent="0.35">
      <c r="A52" s="830"/>
    </row>
    <row r="53" spans="1:9" x14ac:dyDescent="0.35">
      <c r="A53" s="830"/>
    </row>
    <row r="54" spans="1:9" x14ac:dyDescent="0.35">
      <c r="A54" s="830"/>
    </row>
    <row r="55" spans="1:9" x14ac:dyDescent="0.35">
      <c r="A55" s="830"/>
    </row>
    <row r="56" spans="1:9" x14ac:dyDescent="0.35">
      <c r="A56" s="830"/>
      <c r="B56" s="3"/>
      <c r="C56" t="str">
        <f>IF(AND(ZuAbschlag&lt;&gt;0,VSK&lt;&gt;0),"Zu-/Abschlag:","")</f>
        <v/>
      </c>
      <c r="E56" s="15" t="str">
        <f>IF(AND(ZuAbschlag&lt;&gt;0,VSK&lt;&gt;0),ZuAbschlag,"")</f>
        <v/>
      </c>
      <c r="F56" s="17" t="str">
        <f>IF(AND(ZuAbschlag&lt;&gt;0,VSK&lt;&gt;0),F46*E56,"")</f>
        <v/>
      </c>
      <c r="G56" s="1" t="str">
        <f>IF(AND(ZuAbschlag&lt;&gt;0,VSK&lt;&gt;0,G16&lt;&gt;""),G16,"")</f>
        <v/>
      </c>
    </row>
    <row r="57" spans="1:9" x14ac:dyDescent="0.35">
      <c r="A57" s="830"/>
      <c r="C57" t="str">
        <f>IF(AND(NK&lt;&gt;0,VSK&lt;&gt;0),"Nebenkosten:","")</f>
        <v/>
      </c>
      <c r="F57" s="17" t="str">
        <f>IF(AND(NK&lt;&gt;0,VSK&lt;&gt;0),NK,"")</f>
        <v/>
      </c>
      <c r="G57" s="1" t="str">
        <f>IF(AND(NK&lt;&gt;0,VSK&lt;&gt;0,G17&lt;&gt;""),G17,"")</f>
        <v/>
      </c>
    </row>
    <row r="58" spans="1:9" x14ac:dyDescent="0.35">
      <c r="A58" s="830"/>
      <c r="C58" s="78"/>
      <c r="D58" s="78"/>
      <c r="E58" s="78"/>
      <c r="F58" s="78"/>
      <c r="G58" s="78"/>
      <c r="H58" s="78"/>
    </row>
    <row r="59" spans="1:9" ht="15.5" x14ac:dyDescent="0.35">
      <c r="A59" s="830"/>
      <c r="I59" s="16"/>
    </row>
    <row r="60" spans="1:9" ht="15.5" x14ac:dyDescent="0.35">
      <c r="A60" s="830"/>
      <c r="C60" s="16" t="s">
        <v>65</v>
      </c>
      <c r="D60" s="16"/>
      <c r="E60" s="16"/>
      <c r="F60" s="16"/>
      <c r="G60" s="842">
        <f>IF(VSK&gt;0,SUM(F46,F56,F57),0)</f>
        <v>0</v>
      </c>
      <c r="H60" s="842"/>
    </row>
    <row r="61" spans="1:9" ht="15.5" x14ac:dyDescent="0.35">
      <c r="A61" s="830"/>
      <c r="B61" s="16"/>
    </row>
    <row r="62" spans="1:9" x14ac:dyDescent="0.35">
      <c r="A62" s="830"/>
    </row>
    <row r="63" spans="1:9" x14ac:dyDescent="0.35">
      <c r="A63" s="830"/>
    </row>
    <row r="64" spans="1:9" x14ac:dyDescent="0.35">
      <c r="A64" s="830"/>
    </row>
    <row r="65" spans="1:1" x14ac:dyDescent="0.35">
      <c r="A65" s="830"/>
    </row>
    <row r="66" spans="1:1" x14ac:dyDescent="0.35">
      <c r="A66" s="830"/>
    </row>
    <row r="67" spans="1:1" x14ac:dyDescent="0.35">
      <c r="A67" s="830"/>
    </row>
    <row r="68" spans="1:1" x14ac:dyDescent="0.35">
      <c r="A68" s="830"/>
    </row>
    <row r="69" spans="1:1" x14ac:dyDescent="0.35">
      <c r="A69" s="830"/>
    </row>
  </sheetData>
  <mergeCells count="14">
    <mergeCell ref="C24:H24"/>
    <mergeCell ref="C25:H25"/>
    <mergeCell ref="E9:H9"/>
    <mergeCell ref="C11:H11"/>
    <mergeCell ref="A1:A20"/>
    <mergeCell ref="A21:A69"/>
    <mergeCell ref="B27:I27"/>
    <mergeCell ref="D2:H2"/>
    <mergeCell ref="G17:H17"/>
    <mergeCell ref="G19:H19"/>
    <mergeCell ref="G60:H60"/>
    <mergeCell ref="G16:H16"/>
    <mergeCell ref="C22:H22"/>
    <mergeCell ref="C23:H23"/>
  </mergeCells>
  <dataValidations count="8">
    <dataValidation type="list" allowBlank="1" showInputMessage="1" showErrorMessage="1" sqref="E9:H9" xr:uid="{00000000-0002-0000-0300-000000000000}">
      <formula1>IF(PAK=1,INDIRECT($K$6),INDIRECT($K$7))</formula1>
    </dataValidation>
    <dataValidation type="decimal" allowBlank="1" showInputMessage="1" showErrorMessage="1" sqref="H12" xr:uid="{00000000-0002-0000-0300-000001000000}">
      <formula1>0.7</formula1>
      <formula2>1</formula2>
    </dataValidation>
    <dataValidation type="decimal" allowBlank="1" showInputMessage="1" showErrorMessage="1" sqref="H13" xr:uid="{00000000-0002-0000-0300-000002000000}">
      <formula1>1</formula1>
      <formula2>2</formula2>
    </dataValidation>
    <dataValidation type="whole" operator="greaterThan" allowBlank="1" showInputMessage="1" showErrorMessage="1" sqref="H7" xr:uid="{00000000-0002-0000-0300-000003000000}">
      <formula1>H6-1</formula1>
    </dataValidation>
    <dataValidation type="whole" operator="greaterThan" showInputMessage="1" showErrorMessage="1" sqref="H4" xr:uid="{00000000-0002-0000-0300-000004000000}">
      <formula1>0</formula1>
    </dataValidation>
    <dataValidation type="decimal" showInputMessage="1" showErrorMessage="1" sqref="H10" xr:uid="{00000000-0002-0000-0300-000005000000}">
      <formula1>1</formula1>
      <formula2>2</formula2>
    </dataValidation>
    <dataValidation type="decimal" operator="greaterThan" showInputMessage="1" showErrorMessage="1" sqref="E16" xr:uid="{00000000-0002-0000-0300-000006000000}">
      <formula1>-1000</formula1>
    </dataValidation>
    <dataValidation type="decimal" operator="greaterThan" allowBlank="1" showInputMessage="1" showErrorMessage="1" sqref="E17" xr:uid="{00000000-0002-0000-0300-000007000000}">
      <formula1>-1000000</formula1>
    </dataValidation>
  </dataValidations>
  <pageMargins left="0.70866141732283472" right="0.39370078740157483" top="0.59055118110236227" bottom="0.59055118110236227" header="0.31496062992125984" footer="0.31496062992125984"/>
  <pageSetup paperSize="9" orientation="portrait" r:id="rId1"/>
  <headerFooter>
    <oddFooter>&amp;L&amp;9&amp;F, &amp;A&amp;R&amp;9&amp;D</oddFooter>
  </headerFooter>
  <legacyDrawingHF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300-000008000000}">
          <x14:formula1>
            <xm:f>Konstante!$E$28:$E$29</xm:f>
          </x14:formula1>
          <xm:sqref>E13</xm:sqref>
        </x14:dataValidation>
        <x14:dataValidation type="list" allowBlank="1" showInputMessage="1" showErrorMessage="1" xr:uid="{00000000-0002-0000-0300-000009000000}">
          <x14:formula1>
            <xm:f>Konstante!$C$28:$C$29</xm:f>
          </x14:formula1>
          <xm:sqref>E12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6"/>
  <dimension ref="A1:P69"/>
  <sheetViews>
    <sheetView workbookViewId="0">
      <selection activeCell="F4" sqref="F4:H4"/>
    </sheetView>
  </sheetViews>
  <sheetFormatPr baseColWidth="10" defaultColWidth="11.453125" defaultRowHeight="14.5" x14ac:dyDescent="0.35"/>
  <cols>
    <col min="1" max="1" width="4" customWidth="1"/>
    <col min="2" max="2" width="6.7265625" customWidth="1"/>
    <col min="3" max="8" width="12.7265625" customWidth="1"/>
    <col min="9" max="9" width="6.81640625" customWidth="1"/>
  </cols>
  <sheetData>
    <row r="1" spans="1:16" ht="15.75" customHeight="1" x14ac:dyDescent="0.35">
      <c r="A1" s="833" t="s">
        <v>35</v>
      </c>
      <c r="B1" s="45"/>
      <c r="C1" s="45"/>
      <c r="D1" s="45"/>
      <c r="E1" s="45"/>
      <c r="F1" s="45"/>
      <c r="G1" s="45"/>
      <c r="H1" s="45"/>
      <c r="I1" s="45"/>
      <c r="K1" s="93" t="s">
        <v>699</v>
      </c>
      <c r="L1" s="93"/>
      <c r="M1" s="93"/>
      <c r="N1" s="94">
        <f ca="1">CELL("ZEILE",B27)</f>
        <v>27</v>
      </c>
    </row>
    <row r="2" spans="1:16" ht="23.5" x14ac:dyDescent="0.35">
      <c r="A2" s="833"/>
      <c r="B2" s="46"/>
      <c r="C2" s="47" t="s">
        <v>36</v>
      </c>
      <c r="D2" s="864" t="s">
        <v>454</v>
      </c>
      <c r="E2" s="865"/>
      <c r="F2" s="865"/>
      <c r="G2" s="865"/>
      <c r="H2" s="866"/>
      <c r="I2" s="45"/>
      <c r="K2" s="175" t="s">
        <v>700</v>
      </c>
      <c r="L2" s="155"/>
      <c r="M2" s="155"/>
      <c r="N2" s="175">
        <f ca="1">CELL("ZEILE",G60)</f>
        <v>60</v>
      </c>
    </row>
    <row r="3" spans="1:16" ht="23.5" x14ac:dyDescent="0.35">
      <c r="A3" s="833"/>
      <c r="B3" s="46"/>
      <c r="C3" s="47"/>
      <c r="D3" s="58"/>
      <c r="E3" s="59"/>
      <c r="F3" s="59"/>
      <c r="G3" s="59"/>
      <c r="H3" s="60"/>
      <c r="I3" s="45"/>
      <c r="K3" s="175" t="s">
        <v>701</v>
      </c>
      <c r="L3" s="155"/>
      <c r="M3" s="155"/>
      <c r="N3" s="175">
        <f>F19</f>
        <v>0</v>
      </c>
    </row>
    <row r="4" spans="1:16" ht="15.5" x14ac:dyDescent="0.35">
      <c r="A4" s="833"/>
      <c r="B4" s="46"/>
      <c r="C4" s="47" t="s">
        <v>301</v>
      </c>
      <c r="D4" s="47"/>
      <c r="E4" s="48"/>
      <c r="F4" s="870" t="s">
        <v>482</v>
      </c>
      <c r="G4" s="871"/>
      <c r="H4" s="872"/>
      <c r="I4" s="45"/>
    </row>
    <row r="5" spans="1:16" ht="15.5" x14ac:dyDescent="0.35">
      <c r="A5" s="833"/>
      <c r="B5" s="46"/>
      <c r="C5" s="52" t="s">
        <v>299</v>
      </c>
      <c r="D5" s="50"/>
      <c r="E5" s="50"/>
      <c r="F5" s="51"/>
      <c r="G5" s="48"/>
      <c r="H5" s="328" t="str">
        <f>IF(Art=Konstante!X30,Konstante!AA30,Konstante!AA31)</f>
        <v>L=(10mm/km) H=(10mm/km)</v>
      </c>
      <c r="I5" s="45"/>
    </row>
    <row r="6" spans="1:16" ht="15.5" x14ac:dyDescent="0.35">
      <c r="A6" s="833"/>
      <c r="B6" s="46"/>
      <c r="C6" s="47"/>
      <c r="D6" s="47"/>
      <c r="E6" s="51"/>
      <c r="F6" s="51"/>
      <c r="G6" s="48"/>
      <c r="H6" s="261"/>
      <c r="I6" s="45"/>
    </row>
    <row r="7" spans="1:16" ht="15.5" x14ac:dyDescent="0.35">
      <c r="A7" s="833"/>
      <c r="B7" s="46"/>
      <c r="C7" s="330" t="s">
        <v>259</v>
      </c>
      <c r="D7" s="51"/>
      <c r="E7" s="51"/>
      <c r="F7" s="51"/>
      <c r="G7" s="51"/>
      <c r="H7" s="51"/>
      <c r="I7" s="45"/>
    </row>
    <row r="8" spans="1:16" ht="15.5" x14ac:dyDescent="0.35">
      <c r="A8" s="833"/>
      <c r="B8" s="46"/>
      <c r="C8" s="873" t="s">
        <v>298</v>
      </c>
      <c r="D8" s="874"/>
      <c r="E8" s="874"/>
      <c r="F8" s="874"/>
      <c r="G8" s="874"/>
      <c r="H8" s="875"/>
      <c r="I8" s="45"/>
      <c r="K8" s="254"/>
      <c r="L8" s="254"/>
      <c r="N8" s="254"/>
      <c r="O8" s="254"/>
      <c r="P8" s="254"/>
    </row>
    <row r="9" spans="1:16" ht="15.5" x14ac:dyDescent="0.35">
      <c r="A9" s="833"/>
      <c r="B9" s="46"/>
      <c r="C9" s="51"/>
      <c r="D9" s="51"/>
      <c r="E9" s="51"/>
      <c r="F9" s="51"/>
      <c r="G9" s="51"/>
      <c r="H9" s="51"/>
      <c r="I9" s="45"/>
      <c r="K9" s="254"/>
      <c r="L9" s="254"/>
      <c r="M9" s="254"/>
      <c r="N9" s="254"/>
      <c r="O9" s="254"/>
      <c r="P9" s="254"/>
    </row>
    <row r="10" spans="1:16" ht="15.5" x14ac:dyDescent="0.35">
      <c r="A10" s="833"/>
      <c r="B10" s="46"/>
      <c r="C10" s="47" t="s">
        <v>297</v>
      </c>
      <c r="D10" s="51"/>
      <c r="E10" s="51"/>
      <c r="F10" s="51"/>
      <c r="G10" s="51"/>
      <c r="H10" s="329"/>
      <c r="I10" s="45"/>
      <c r="K10" s="254" t="s">
        <v>296</v>
      </c>
      <c r="L10" s="254"/>
      <c r="M10" s="331">
        <f>VLOOKUP(Art,Konstante!X30:Z31,3,FALSE)+VLOOKUP(C8,Konstante!X23:AG26,10,FALSE)</f>
        <v>2</v>
      </c>
      <c r="N10" s="254"/>
      <c r="O10" s="254"/>
      <c r="P10" s="254"/>
    </row>
    <row r="11" spans="1:16" ht="15.5" x14ac:dyDescent="0.35">
      <c r="A11" s="833"/>
      <c r="B11" s="46"/>
      <c r="C11" s="47"/>
      <c r="D11" s="47"/>
      <c r="E11" s="51"/>
      <c r="F11" s="51"/>
      <c r="G11" s="48"/>
      <c r="H11" s="261"/>
      <c r="I11" s="45"/>
      <c r="K11" s="254"/>
      <c r="L11" s="254"/>
      <c r="M11" s="254"/>
      <c r="N11" s="254"/>
      <c r="O11" s="254"/>
      <c r="P11" s="254"/>
    </row>
    <row r="12" spans="1:16" ht="15.5" x14ac:dyDescent="0.35">
      <c r="A12" s="833"/>
      <c r="B12" s="46"/>
      <c r="C12" s="47" t="s">
        <v>295</v>
      </c>
      <c r="D12" s="47"/>
      <c r="E12" s="49"/>
      <c r="F12" s="49"/>
      <c r="G12" s="49"/>
      <c r="H12" s="265"/>
      <c r="I12" s="46"/>
      <c r="K12" s="254" t="s">
        <v>294</v>
      </c>
      <c r="L12" s="254"/>
      <c r="M12" s="332">
        <f>VLOOKUP(M$10,Konstante!AG$23:AQ$31,8,FALSE)</f>
        <v>2.319</v>
      </c>
      <c r="N12" s="254"/>
      <c r="O12" s="254"/>
      <c r="P12" s="254"/>
    </row>
    <row r="13" spans="1:16" ht="15.5" x14ac:dyDescent="0.35">
      <c r="A13" s="833"/>
      <c r="B13" s="45"/>
      <c r="C13" s="47"/>
      <c r="D13" s="47"/>
      <c r="E13" s="51"/>
      <c r="F13" s="51"/>
      <c r="G13" s="48"/>
      <c r="H13" s="261"/>
      <c r="I13" s="46"/>
      <c r="K13" s="254" t="s">
        <v>293</v>
      </c>
      <c r="L13" s="254"/>
      <c r="M13" s="332">
        <f>VLOOKUP(M$10,Konstante!AG$23:AQ$31,9,FALSE)</f>
        <v>1.694</v>
      </c>
      <c r="N13" s="254"/>
      <c r="O13" s="254"/>
      <c r="P13" s="254"/>
    </row>
    <row r="14" spans="1:16" ht="15.5" x14ac:dyDescent="0.35">
      <c r="A14" s="833"/>
      <c r="B14" s="46"/>
      <c r="C14" s="47" t="s">
        <v>292</v>
      </c>
      <c r="D14" s="47"/>
      <c r="E14" s="49"/>
      <c r="F14" s="49"/>
      <c r="G14" s="49"/>
      <c r="H14" s="265" t="s">
        <v>20</v>
      </c>
      <c r="I14" s="47"/>
      <c r="K14" s="254" t="s">
        <v>291</v>
      </c>
      <c r="L14" s="254"/>
      <c r="M14" s="332">
        <f>VLOOKUP(M$10,Konstante!AG$23:AQ$31,10,FALSE)</f>
        <v>0.124</v>
      </c>
      <c r="N14" s="254"/>
      <c r="O14" s="254"/>
      <c r="P14" s="254"/>
    </row>
    <row r="15" spans="1:16" ht="15.5" x14ac:dyDescent="0.35">
      <c r="A15" s="833"/>
      <c r="B15" s="46"/>
      <c r="C15" s="317"/>
      <c r="D15" s="318"/>
      <c r="E15" s="317"/>
      <c r="F15" s="319"/>
      <c r="G15" s="592" t="s">
        <v>633</v>
      </c>
      <c r="H15" s="319"/>
      <c r="I15" s="47"/>
      <c r="K15" s="254" t="s">
        <v>290</v>
      </c>
      <c r="L15" s="254"/>
      <c r="M15" s="332">
        <f>VLOOKUP(M$10,Konstante!AG$23:AQ$31,11,FALSE)</f>
        <v>0.64</v>
      </c>
      <c r="N15" s="254"/>
      <c r="O15" s="254"/>
      <c r="P15" s="254"/>
    </row>
    <row r="16" spans="1:16" ht="15.5" x14ac:dyDescent="0.35">
      <c r="A16" s="833"/>
      <c r="B16" s="46"/>
      <c r="C16" s="47" t="s">
        <v>34</v>
      </c>
      <c r="D16" s="47"/>
      <c r="E16" s="320"/>
      <c r="F16" s="47"/>
      <c r="G16" s="868"/>
      <c r="H16" s="869"/>
      <c r="I16" s="47"/>
      <c r="K16" s="254"/>
      <c r="L16" s="254"/>
      <c r="M16" s="254"/>
      <c r="N16" s="254"/>
      <c r="O16" s="254"/>
      <c r="P16" s="254"/>
    </row>
    <row r="17" spans="1:9" ht="15.5" x14ac:dyDescent="0.35">
      <c r="A17" s="833"/>
      <c r="B17" s="46"/>
      <c r="C17" s="47" t="s">
        <v>1</v>
      </c>
      <c r="D17" s="47"/>
      <c r="E17" s="321"/>
      <c r="F17" s="47"/>
      <c r="G17" s="867"/>
      <c r="H17" s="867"/>
      <c r="I17" s="47"/>
    </row>
    <row r="18" spans="1:9" ht="15.5" x14ac:dyDescent="0.35">
      <c r="A18" s="833"/>
      <c r="B18" s="46"/>
      <c r="C18" s="47"/>
      <c r="D18" s="47"/>
      <c r="E18" s="53"/>
      <c r="F18" s="47"/>
      <c r="G18" s="46"/>
      <c r="H18" s="46"/>
      <c r="I18" s="45"/>
    </row>
    <row r="19" spans="1:9" ht="21" x14ac:dyDescent="0.5">
      <c r="A19" s="833"/>
      <c r="B19" s="45"/>
      <c r="C19" s="54" t="str">
        <f>IF(VSK=0, "UNVOLLSTÄNDIG AUSGEFÜLLT!","")</f>
        <v>UNVOLLSTÄNDIG AUSGEFÜLLT!</v>
      </c>
      <c r="D19" s="45"/>
      <c r="E19" s="45"/>
      <c r="F19" s="451">
        <f>IF(AND(ISNUMBER(S_),ISNUMBER(n)),1,0)</f>
        <v>0</v>
      </c>
      <c r="G19" s="852" t="str">
        <f>IF(VSK&lt;&gt;0, G60,"")</f>
        <v/>
      </c>
      <c r="H19" s="852"/>
      <c r="I19" s="45"/>
    </row>
    <row r="20" spans="1:9" ht="15.5" x14ac:dyDescent="0.35">
      <c r="A20" s="833"/>
      <c r="B20" s="45"/>
      <c r="C20" s="45"/>
      <c r="D20" s="45"/>
      <c r="E20" s="45"/>
      <c r="F20" s="45"/>
      <c r="G20" s="45"/>
      <c r="H20" s="45"/>
      <c r="I20" s="45"/>
    </row>
    <row r="21" spans="1:9" ht="15" customHeight="1" x14ac:dyDescent="0.35">
      <c r="A21" s="830" t="s">
        <v>66</v>
      </c>
      <c r="I21" s="577" t="str">
        <f ca="1">IF(VLOOKUP(B27,CHOOSE({5,4,3,2,1},Gesamt!L32:L65,Gesamt!M32:M65,Gesamt!N32:N65,Gesamt!O32:O65,Gesamt!P32:P65,),4,0)&gt;0,CONCATENATE("Pos. ",VLOOKUP(B27,CHOOSE({5,4,3,2,1},Gesamt!L32:L65,Gesamt!M32:M65,Gesamt!N32:N65,Gesamt!O32:O65,Gesamt!P32:P65,),VLOOKUP(Gesamt!C19,Gesamt!L5:N7,3,0),0)),"")</f>
        <v/>
      </c>
    </row>
    <row r="22" spans="1:9" x14ac:dyDescent="0.35">
      <c r="A22" s="830"/>
      <c r="B22" s="831" t="str">
        <f>CONCATENATE(Gesamt!C2, ": ", Gesamt!E2)</f>
        <v xml:space="preserve">Projekt: </v>
      </c>
      <c r="C22" s="831"/>
      <c r="D22" s="831"/>
      <c r="E22" s="831"/>
      <c r="F22" s="831"/>
      <c r="G22" s="831"/>
      <c r="H22" s="831"/>
      <c r="I22" s="831"/>
    </row>
    <row r="23" spans="1:9" x14ac:dyDescent="0.35">
      <c r="A23" s="830"/>
      <c r="B23" s="832" t="str">
        <f>CONCATENATE(Gesamt!C4, ": ", Gesamt!E4, IF(Gesamt!E5&lt;&gt;""," - ",""), IF(Gesamt!E5&lt;&gt;"",Gesamt!E5,""), IF(Gesamt!E6&lt;&gt;""," - GZ. ",""), IF(Gesamt!E6&lt;&gt;"",Gesamt!E6,""),)</f>
        <v xml:space="preserve">Auftraggeber: </v>
      </c>
      <c r="C23" s="832"/>
      <c r="D23" s="832"/>
      <c r="E23" s="832"/>
      <c r="F23" s="832"/>
      <c r="G23" s="832"/>
      <c r="H23" s="832"/>
      <c r="I23" s="832"/>
    </row>
    <row r="24" spans="1:9" x14ac:dyDescent="0.35">
      <c r="A24" s="830"/>
      <c r="B24" s="832" t="str">
        <f>CONCATENATE(Gesamt!C9, ": ",Gesamt!E9,  IF(Gesamt!C10&lt;&gt;""," - ",""), IF(Gesamt!C10&lt;&gt;"",Gesamt!E10,""), IF(Gesamt!C11&lt;&gt;""," - GZ. ",""), IF(Gesamt!C11&lt;&gt;"",Gesamt!E11,""), )</f>
        <v xml:space="preserve">Bieter:  -  - GZ. </v>
      </c>
      <c r="C24" s="832"/>
      <c r="D24" s="832"/>
      <c r="E24" s="832"/>
      <c r="F24" s="832"/>
      <c r="G24" s="832"/>
      <c r="H24" s="832"/>
      <c r="I24" s="832"/>
    </row>
    <row r="25" spans="1:9" x14ac:dyDescent="0.35">
      <c r="A25" s="830"/>
      <c r="B25" s="832" t="s">
        <v>41</v>
      </c>
      <c r="C25" s="832"/>
      <c r="D25" s="832"/>
      <c r="E25" s="832"/>
      <c r="F25" s="832"/>
      <c r="G25" s="832"/>
      <c r="H25" s="832"/>
      <c r="I25" s="832"/>
    </row>
    <row r="26" spans="1:9" x14ac:dyDescent="0.35">
      <c r="A26" s="830"/>
    </row>
    <row r="27" spans="1:9" ht="18.5" x14ac:dyDescent="0.35">
      <c r="A27" s="830"/>
      <c r="B27" s="843" t="str">
        <f>D2</f>
        <v>Polygonzug</v>
      </c>
      <c r="C27" s="843"/>
      <c r="D27" s="843"/>
      <c r="E27" s="843"/>
      <c r="F27" s="843"/>
      <c r="G27" s="843"/>
      <c r="H27" s="843"/>
      <c r="I27" s="843"/>
    </row>
    <row r="28" spans="1:9" x14ac:dyDescent="0.35">
      <c r="A28" s="830"/>
    </row>
    <row r="29" spans="1:9" x14ac:dyDescent="0.35">
      <c r="A29" s="830"/>
      <c r="C29" t="str">
        <f>IF(Art=Konstante!X30,"LB_VG, Pos. 4.1.3, Bearbeitungsaufwand von Feinpolygonzügen","LB_VG, Pos. 4.1.4, Bearbeitungsaufwand von technischen Polygonzügen")</f>
        <v>LB_VG, Pos. 4.1.3, Bearbeitungsaufwand von Feinpolygonzügen</v>
      </c>
    </row>
    <row r="30" spans="1:9" x14ac:dyDescent="0.35">
      <c r="A30" s="830"/>
    </row>
    <row r="31" spans="1:9" ht="15.5" x14ac:dyDescent="0.35">
      <c r="A31" s="830"/>
      <c r="C31" s="11" t="str">
        <f>Art</f>
        <v>Feinpolygonzug</v>
      </c>
    </row>
    <row r="32" spans="1:9" x14ac:dyDescent="0.35">
      <c r="A32" s="830"/>
      <c r="C32" t="str">
        <f>CONCATENATE("Standardabweichung: ",H5)</f>
        <v>Standardabweichung: L=(10mm/km) H=(10mm/km)</v>
      </c>
    </row>
    <row r="33" spans="1:9" x14ac:dyDescent="0.35">
      <c r="A33" s="830"/>
      <c r="C33" s="15" t="str">
        <f>C8</f>
        <v>ohne Punktbeschreibung und ohne Polygonzugsübersicht, ohne Höhenmessung</v>
      </c>
    </row>
    <row r="34" spans="1:9" x14ac:dyDescent="0.35">
      <c r="A34" s="830"/>
    </row>
    <row r="35" spans="1:9" x14ac:dyDescent="0.35">
      <c r="A35" s="830"/>
      <c r="C35" t="s">
        <v>959</v>
      </c>
      <c r="E35" s="118">
        <f>IS</f>
        <v>0</v>
      </c>
    </row>
    <row r="36" spans="1:9" x14ac:dyDescent="0.35">
      <c r="A36" s="830"/>
    </row>
    <row r="37" spans="1:9" x14ac:dyDescent="0.35">
      <c r="A37" s="830"/>
      <c r="C37" s="30" t="str">
        <f>VLOOKUP(M10,Konstante!AG23:AM31,2,FALSE)</f>
        <v>H = ((2,319 * S + 1,694 * n) * f + 0,124 * n + 0,640) * ((S/(n/7))^0,2) * IS + N</v>
      </c>
    </row>
    <row r="38" spans="1:9" x14ac:dyDescent="0.35">
      <c r="A38" s="830"/>
    </row>
    <row r="39" spans="1:9" x14ac:dyDescent="0.35">
      <c r="A39" s="830"/>
    </row>
    <row r="40" spans="1:9" x14ac:dyDescent="0.35">
      <c r="A40" s="830"/>
      <c r="C40" t="s">
        <v>289</v>
      </c>
      <c r="D40" s="123">
        <f>S_</f>
        <v>0</v>
      </c>
      <c r="E40" t="s">
        <v>288</v>
      </c>
    </row>
    <row r="41" spans="1:9" x14ac:dyDescent="0.35">
      <c r="A41" s="830"/>
      <c r="C41" t="s">
        <v>266</v>
      </c>
      <c r="D41" s="1">
        <f>n</f>
        <v>0</v>
      </c>
      <c r="E41" t="s">
        <v>287</v>
      </c>
    </row>
    <row r="42" spans="1:9" x14ac:dyDescent="0.35">
      <c r="A42" s="830"/>
      <c r="C42" t="s">
        <v>286</v>
      </c>
      <c r="D42" s="1">
        <f>VLOOKUP(f,Konstante!AE23:AF31,2,FALSE)</f>
        <v>1.1499999999999999</v>
      </c>
      <c r="E42" t="str">
        <f>CONCATENATE(f," - Geländeklasse und Schwierigkeitsstufe")</f>
        <v>Ib - Geländeklasse und Schwierigkeitsstufe</v>
      </c>
    </row>
    <row r="43" spans="1:9" x14ac:dyDescent="0.35">
      <c r="A43" s="830"/>
    </row>
    <row r="44" spans="1:9" x14ac:dyDescent="0.35">
      <c r="A44" s="830"/>
    </row>
    <row r="45" spans="1:9" x14ac:dyDescent="0.35">
      <c r="A45" s="830"/>
      <c r="C45" s="3" t="s">
        <v>60</v>
      </c>
      <c r="D45" s="3"/>
      <c r="E45" s="3"/>
      <c r="F45" s="22">
        <f>IF(VSK&lt;&gt;0,((M12*S_+M13*n)*VLOOKUP(f,Konstante!AE23:AF31,2,FALSE)+M14*n+M15)*((S_/(n/7))^0.2)*IS,0)</f>
        <v>0</v>
      </c>
      <c r="G45" s="3"/>
      <c r="H45" s="3"/>
      <c r="I45" s="3"/>
    </row>
    <row r="46" spans="1:9" x14ac:dyDescent="0.35">
      <c r="A46" s="830"/>
      <c r="F46" s="28"/>
    </row>
    <row r="47" spans="1:9" x14ac:dyDescent="0.35">
      <c r="A47" s="830"/>
    </row>
    <row r="48" spans="1:9" x14ac:dyDescent="0.35">
      <c r="A48" s="830"/>
    </row>
    <row r="49" spans="1:9" x14ac:dyDescent="0.35">
      <c r="A49" s="830"/>
    </row>
    <row r="50" spans="1:9" x14ac:dyDescent="0.35">
      <c r="A50" s="830"/>
    </row>
    <row r="51" spans="1:9" x14ac:dyDescent="0.35">
      <c r="A51" s="830"/>
    </row>
    <row r="52" spans="1:9" x14ac:dyDescent="0.35">
      <c r="A52" s="830"/>
    </row>
    <row r="53" spans="1:9" x14ac:dyDescent="0.35">
      <c r="A53" s="830"/>
    </row>
    <row r="54" spans="1:9" x14ac:dyDescent="0.35">
      <c r="A54" s="830"/>
    </row>
    <row r="55" spans="1:9" x14ac:dyDescent="0.35">
      <c r="A55" s="830"/>
    </row>
    <row r="56" spans="1:9" x14ac:dyDescent="0.35">
      <c r="A56" s="830"/>
      <c r="C56" t="str">
        <f>IF(AND(ZuAbschlag&lt;&gt;0,VSK&lt;&gt;0),"Zu-/Abschlag:","")</f>
        <v/>
      </c>
      <c r="E56" s="15" t="str">
        <f>IF(AND(ZuAbschlag&lt;&gt;0,VSK&lt;&gt;0),ZuAbschlag,"")</f>
        <v/>
      </c>
      <c r="F56" s="17" t="str">
        <f>IF(AND(ZuAbschlag&lt;&gt;0,VSK&lt;&gt;0),F45*E56,"")</f>
        <v/>
      </c>
      <c r="G56" s="1" t="str">
        <f>IF(AND(ZuAbschlag&lt;&gt;0,VSK&lt;&gt;0,G16&lt;&gt;""),G16,"")</f>
        <v/>
      </c>
    </row>
    <row r="57" spans="1:9" x14ac:dyDescent="0.35">
      <c r="A57" s="830"/>
      <c r="B57" s="3"/>
      <c r="C57" t="str">
        <f>IF(AND(NK&lt;&gt;0,VSK&lt;&gt;0),"Nebenkosten:","")</f>
        <v/>
      </c>
      <c r="F57" s="17" t="str">
        <f>IF(AND(NK&lt;&gt;0,VSK&lt;&gt;0),NK,"")</f>
        <v/>
      </c>
      <c r="G57" s="1" t="str">
        <f>IF(AND(NK&lt;&gt;0,VSK&lt;&gt;0,G17&lt;&gt;""),G17,"")</f>
        <v/>
      </c>
    </row>
    <row r="58" spans="1:9" x14ac:dyDescent="0.35">
      <c r="A58" s="830"/>
      <c r="C58" s="78"/>
      <c r="D58" s="78"/>
      <c r="E58" s="78"/>
      <c r="F58" s="78"/>
      <c r="G58" s="78"/>
      <c r="H58" s="78"/>
    </row>
    <row r="59" spans="1:9" ht="15.5" x14ac:dyDescent="0.35">
      <c r="A59" s="830"/>
      <c r="I59" s="16"/>
    </row>
    <row r="60" spans="1:9" ht="15.5" x14ac:dyDescent="0.35">
      <c r="A60" s="830"/>
      <c r="C60" s="16" t="s">
        <v>65</v>
      </c>
      <c r="D60" s="16"/>
      <c r="E60" s="16"/>
      <c r="F60" s="16"/>
      <c r="G60" s="842">
        <f>IF(VSK&gt;0,SUM(F45,F56,F57),0)</f>
        <v>0</v>
      </c>
      <c r="H60" s="842"/>
    </row>
    <row r="61" spans="1:9" x14ac:dyDescent="0.35">
      <c r="A61" s="830"/>
    </row>
    <row r="62" spans="1:9" x14ac:dyDescent="0.35">
      <c r="A62" s="830"/>
    </row>
    <row r="63" spans="1:9" x14ac:dyDescent="0.35">
      <c r="A63" s="830"/>
    </row>
    <row r="64" spans="1:9" x14ac:dyDescent="0.35">
      <c r="A64" s="830"/>
    </row>
    <row r="65" spans="1:1" x14ac:dyDescent="0.35">
      <c r="A65" s="830"/>
    </row>
    <row r="66" spans="1:1" x14ac:dyDescent="0.35">
      <c r="A66" s="830"/>
    </row>
    <row r="67" spans="1:1" x14ac:dyDescent="0.35">
      <c r="A67" s="830"/>
    </row>
    <row r="68" spans="1:1" x14ac:dyDescent="0.35">
      <c r="A68" s="830"/>
    </row>
    <row r="69" spans="1:1" x14ac:dyDescent="0.35">
      <c r="A69" s="830"/>
    </row>
  </sheetData>
  <mergeCells count="14">
    <mergeCell ref="A1:A20"/>
    <mergeCell ref="D2:H2"/>
    <mergeCell ref="F4:H4"/>
    <mergeCell ref="C8:H8"/>
    <mergeCell ref="G16:H16"/>
    <mergeCell ref="G17:H17"/>
    <mergeCell ref="G19:H19"/>
    <mergeCell ref="A21:A69"/>
    <mergeCell ref="B22:I22"/>
    <mergeCell ref="B23:I23"/>
    <mergeCell ref="B24:I24"/>
    <mergeCell ref="B25:I25"/>
    <mergeCell ref="B27:I27"/>
    <mergeCell ref="G60:H60"/>
  </mergeCells>
  <dataValidations count="4">
    <dataValidation type="decimal" operator="greaterThan" allowBlank="1" showInputMessage="1" showErrorMessage="1" error="Polygonzug muss  mindestens 0,01 km lang sein!" sqref="H10" xr:uid="{00000000-0002-0000-0400-000000000000}">
      <formula1>0.005</formula1>
    </dataValidation>
    <dataValidation type="whole" operator="greaterThan" allowBlank="1" showInputMessage="1" showErrorMessage="1" error="muss größer 0 sein!" sqref="H12" xr:uid="{00000000-0002-0000-0400-000001000000}">
      <formula1>0</formula1>
    </dataValidation>
    <dataValidation type="decimal" operator="greaterThan" showInputMessage="1" showErrorMessage="1" sqref="E16" xr:uid="{00000000-0002-0000-0400-000002000000}">
      <formula1>-1000</formula1>
    </dataValidation>
    <dataValidation type="decimal" operator="greaterThan" allowBlank="1" showInputMessage="1" showErrorMessage="1" sqref="E17" xr:uid="{00000000-0002-0000-0400-000003000000}">
      <formula1>-1000000</formula1>
    </dataValidation>
  </dataValidations>
  <pageMargins left="0.70866141732283472" right="0.39370078740157483" top="0.59055118110236227" bottom="0.59055118110236227" header="0.31496062992125984" footer="0.31496062992125984"/>
  <pageSetup paperSize="9" orientation="portrait" r:id="rId1"/>
  <headerFooter>
    <oddFooter>&amp;L&amp;9&amp;F, &amp;A&amp;R&amp;9&amp;D</oddFooter>
  </headerFooter>
  <legacyDrawing r:id="rId2"/>
  <legacyDrawingHF r:id="rId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showInputMessage="1" showErrorMessage="1" xr:uid="{00000000-0002-0000-0400-000004000000}">
          <x14:formula1>
            <xm:f>Konstante!$AE$23:$AE$31</xm:f>
          </x14:formula1>
          <xm:sqref>H14</xm:sqref>
        </x14:dataValidation>
        <x14:dataValidation type="list" showInputMessage="1" showErrorMessage="1" xr:uid="{00000000-0002-0000-0400-000005000000}">
          <x14:formula1>
            <xm:f>Konstante!$X$23:$X$26</xm:f>
          </x14:formula1>
          <xm:sqref>C8:H8</xm:sqref>
        </x14:dataValidation>
        <x14:dataValidation type="list" allowBlank="1" showInputMessage="1" showErrorMessage="1" xr:uid="{00000000-0002-0000-0400-000006000000}">
          <x14:formula1>
            <xm:f>Konstante!$X$30:$X$31</xm:f>
          </x14:formula1>
          <xm:sqref>F4:H4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7"/>
  <dimension ref="A1:P69"/>
  <sheetViews>
    <sheetView workbookViewId="0">
      <selection activeCell="C5" sqref="C5:H5"/>
    </sheetView>
  </sheetViews>
  <sheetFormatPr baseColWidth="10" defaultColWidth="11.453125" defaultRowHeight="14.5" x14ac:dyDescent="0.35"/>
  <cols>
    <col min="1" max="1" width="4" customWidth="1"/>
    <col min="2" max="2" width="6.7265625" customWidth="1"/>
    <col min="3" max="8" width="12.7265625" customWidth="1"/>
    <col min="9" max="9" width="5.7265625" customWidth="1"/>
  </cols>
  <sheetData>
    <row r="1" spans="1:16" ht="15.75" customHeight="1" x14ac:dyDescent="0.35">
      <c r="A1" s="833" t="s">
        <v>35</v>
      </c>
      <c r="B1" s="45"/>
      <c r="C1" s="45"/>
      <c r="D1" s="45"/>
      <c r="E1" s="45"/>
      <c r="F1" s="45"/>
      <c r="G1" s="45"/>
      <c r="H1" s="45"/>
      <c r="I1" s="45"/>
      <c r="K1" s="93" t="s">
        <v>699</v>
      </c>
      <c r="L1" s="93"/>
      <c r="M1" s="93"/>
      <c r="N1" s="94">
        <f ca="1">CELL("ZEILE",B27)</f>
        <v>27</v>
      </c>
    </row>
    <row r="2" spans="1:16" ht="23.5" x14ac:dyDescent="0.35">
      <c r="A2" s="833"/>
      <c r="B2" s="46"/>
      <c r="C2" s="47" t="s">
        <v>36</v>
      </c>
      <c r="D2" s="864" t="s">
        <v>84</v>
      </c>
      <c r="E2" s="865"/>
      <c r="F2" s="865"/>
      <c r="G2" s="865"/>
      <c r="H2" s="866"/>
      <c r="I2" s="45"/>
      <c r="K2" s="175" t="s">
        <v>700</v>
      </c>
      <c r="L2" s="155"/>
      <c r="M2" s="155"/>
      <c r="N2" s="175">
        <f ca="1">CELL("ZEILE",G60)</f>
        <v>60</v>
      </c>
    </row>
    <row r="3" spans="1:16" ht="23.5" x14ac:dyDescent="0.35">
      <c r="A3" s="833"/>
      <c r="B3" s="46"/>
      <c r="C3" s="47"/>
      <c r="D3" s="58"/>
      <c r="E3" s="59"/>
      <c r="F3" s="59"/>
      <c r="G3" s="59"/>
      <c r="H3" s="60"/>
      <c r="I3" s="45"/>
      <c r="K3" s="175" t="s">
        <v>701</v>
      </c>
      <c r="L3" s="155"/>
      <c r="M3" s="155"/>
      <c r="N3" s="175">
        <f>F19</f>
        <v>0</v>
      </c>
    </row>
    <row r="4" spans="1:16" ht="15.5" x14ac:dyDescent="0.35">
      <c r="A4" s="833"/>
      <c r="B4" s="46"/>
      <c r="C4" s="330" t="s">
        <v>259</v>
      </c>
      <c r="D4" s="51"/>
      <c r="E4" s="51"/>
      <c r="F4" s="51"/>
      <c r="G4" s="51"/>
      <c r="H4" s="51"/>
      <c r="I4" s="45"/>
    </row>
    <row r="5" spans="1:16" ht="15.5" x14ac:dyDescent="0.35">
      <c r="A5" s="833"/>
      <c r="B5" s="46"/>
      <c r="C5" s="873" t="s">
        <v>464</v>
      </c>
      <c r="D5" s="874"/>
      <c r="E5" s="874"/>
      <c r="F5" s="874"/>
      <c r="G5" s="874"/>
      <c r="H5" s="875"/>
      <c r="I5" s="45"/>
    </row>
    <row r="6" spans="1:16" ht="15.5" x14ac:dyDescent="0.35">
      <c r="A6" s="833"/>
      <c r="B6" s="46"/>
      <c r="C6" s="51"/>
      <c r="D6" s="51"/>
      <c r="E6" s="51"/>
      <c r="F6" s="51"/>
      <c r="G6" s="51"/>
      <c r="H6" s="51"/>
      <c r="I6" s="45"/>
    </row>
    <row r="7" spans="1:16" ht="15.5" x14ac:dyDescent="0.35">
      <c r="A7" s="833"/>
      <c r="B7" s="46"/>
      <c r="C7" s="47" t="s">
        <v>305</v>
      </c>
      <c r="D7" s="51"/>
      <c r="E7" s="51"/>
      <c r="F7" s="51"/>
      <c r="G7" s="51"/>
      <c r="H7" s="329"/>
      <c r="I7" s="45"/>
    </row>
    <row r="8" spans="1:16" ht="15.5" x14ac:dyDescent="0.35">
      <c r="A8" s="833"/>
      <c r="B8" s="46"/>
      <c r="C8" s="47"/>
      <c r="D8" s="47"/>
      <c r="E8" s="51"/>
      <c r="F8" s="51"/>
      <c r="G8" s="48"/>
      <c r="H8" s="261"/>
      <c r="I8" s="45"/>
      <c r="K8" s="254"/>
      <c r="L8" s="254"/>
      <c r="N8" s="254"/>
      <c r="O8" s="254"/>
      <c r="P8" s="254"/>
    </row>
    <row r="9" spans="1:16" ht="15.5" x14ac:dyDescent="0.35">
      <c r="A9" s="833"/>
      <c r="B9" s="46"/>
      <c r="C9" s="47" t="s">
        <v>292</v>
      </c>
      <c r="D9" s="47"/>
      <c r="E9" s="49"/>
      <c r="F9" s="49"/>
      <c r="G9" s="49"/>
      <c r="H9" s="265" t="s">
        <v>20</v>
      </c>
      <c r="I9" s="45"/>
      <c r="K9" s="254"/>
      <c r="L9" s="254"/>
      <c r="M9" s="254"/>
      <c r="N9" s="254"/>
      <c r="O9" s="254"/>
      <c r="P9" s="254"/>
    </row>
    <row r="10" spans="1:16" ht="15.5" x14ac:dyDescent="0.35">
      <c r="A10" s="833"/>
      <c r="B10" s="46"/>
      <c r="C10" s="47"/>
      <c r="D10" s="47"/>
      <c r="E10" s="51"/>
      <c r="F10" s="51"/>
      <c r="G10" s="48"/>
      <c r="H10" s="261"/>
      <c r="I10" s="45"/>
      <c r="K10" s="254"/>
      <c r="L10" s="254"/>
      <c r="M10" s="331"/>
      <c r="N10" s="254"/>
      <c r="O10" s="254"/>
      <c r="P10" s="254"/>
    </row>
    <row r="11" spans="1:16" ht="15.5" x14ac:dyDescent="0.35">
      <c r="A11" s="833"/>
      <c r="B11" s="46"/>
      <c r="C11" s="47" t="s">
        <v>304</v>
      </c>
      <c r="D11" s="47"/>
      <c r="E11" s="49"/>
      <c r="F11" s="49"/>
      <c r="G11" s="49"/>
      <c r="H11" s="257">
        <v>1</v>
      </c>
      <c r="I11" s="45"/>
      <c r="K11" s="254"/>
      <c r="L11" s="254"/>
      <c r="M11" s="254"/>
      <c r="N11" s="254"/>
      <c r="O11" s="254"/>
      <c r="P11" s="254"/>
    </row>
    <row r="12" spans="1:16" ht="15.5" x14ac:dyDescent="0.35">
      <c r="A12" s="833"/>
      <c r="B12" s="46"/>
      <c r="C12" s="317"/>
      <c r="D12" s="317"/>
      <c r="E12" s="317"/>
      <c r="F12" s="317"/>
      <c r="G12" s="317"/>
      <c r="H12" s="317" t="str">
        <f>IF(G=1, "Standardabweichung: L=(10mm+20mm/km), H=(18mm+20mm/km)",IF(G&gt;1,"Standardabweichung besser L=(10mm+20mm/km), H=(18mm+20mm/km","Standardabweichung schlechter L=(10mm+20mm/km), H=(18mm+20mm/km"))</f>
        <v>Standardabweichung: L=(10mm+20mm/km), H=(18mm+20mm/km)</v>
      </c>
      <c r="I12" s="46"/>
      <c r="K12" s="254"/>
      <c r="L12" s="254"/>
      <c r="M12" s="332"/>
      <c r="N12" s="254"/>
      <c r="O12" s="254"/>
      <c r="P12" s="254"/>
    </row>
    <row r="13" spans="1:16" ht="15.5" x14ac:dyDescent="0.35">
      <c r="A13" s="833"/>
      <c r="B13" s="45"/>
      <c r="C13" s="317"/>
      <c r="D13" s="317"/>
      <c r="E13" s="317"/>
      <c r="F13" s="317"/>
      <c r="G13" s="317"/>
      <c r="H13" s="317"/>
      <c r="I13" s="46"/>
      <c r="K13" s="254" t="s">
        <v>293</v>
      </c>
      <c r="L13" s="254"/>
      <c r="M13" s="332">
        <f>VLOOKUP($C$5,Konstante!AT$23:BG$26,12,FALSE)</f>
        <v>1.4159999999999999</v>
      </c>
      <c r="N13" s="254"/>
      <c r="O13" s="254"/>
      <c r="P13" s="254"/>
    </row>
    <row r="14" spans="1:16" ht="15.5" x14ac:dyDescent="0.35">
      <c r="A14" s="833"/>
      <c r="B14" s="46"/>
      <c r="C14" s="317"/>
      <c r="D14" s="317"/>
      <c r="E14" s="317"/>
      <c r="F14" s="317"/>
      <c r="G14" s="317"/>
      <c r="H14" s="317"/>
      <c r="I14" s="47"/>
      <c r="K14" s="254" t="s">
        <v>291</v>
      </c>
      <c r="L14" s="254"/>
      <c r="M14" s="332">
        <f>VLOOKUP($C$5,Konstante!AT$23:BG$26,13,FALSE)</f>
        <v>7.8209999999999997</v>
      </c>
      <c r="N14" s="254"/>
      <c r="O14" s="254"/>
      <c r="P14" s="254"/>
    </row>
    <row r="15" spans="1:16" ht="15.5" x14ac:dyDescent="0.35">
      <c r="A15" s="833"/>
      <c r="B15" s="46"/>
      <c r="C15" s="317"/>
      <c r="D15" s="318"/>
      <c r="E15" s="317"/>
      <c r="F15" s="319"/>
      <c r="G15" s="592" t="s">
        <v>633</v>
      </c>
      <c r="H15" s="319"/>
      <c r="I15" s="47"/>
      <c r="K15" s="254" t="s">
        <v>290</v>
      </c>
      <c r="L15" s="254"/>
      <c r="M15" s="332">
        <f>VLOOKUP($C$5,Konstante!AT$23:BG$26,14,FALSE)</f>
        <v>1</v>
      </c>
      <c r="N15" s="254"/>
      <c r="O15" s="254"/>
      <c r="P15" s="254"/>
    </row>
    <row r="16" spans="1:16" ht="15.5" x14ac:dyDescent="0.35">
      <c r="A16" s="833"/>
      <c r="B16" s="46"/>
      <c r="C16" s="47" t="s">
        <v>34</v>
      </c>
      <c r="D16" s="47"/>
      <c r="E16" s="320"/>
      <c r="F16" s="47"/>
      <c r="G16" s="868"/>
      <c r="H16" s="869"/>
      <c r="I16" s="47"/>
      <c r="K16" s="254"/>
      <c r="L16" s="254"/>
      <c r="M16" s="254"/>
      <c r="N16" s="254"/>
      <c r="O16" s="254"/>
      <c r="P16" s="254"/>
    </row>
    <row r="17" spans="1:9" ht="15.5" x14ac:dyDescent="0.35">
      <c r="A17" s="833"/>
      <c r="B17" s="46"/>
      <c r="C17" s="47" t="s">
        <v>1</v>
      </c>
      <c r="D17" s="47"/>
      <c r="E17" s="321"/>
      <c r="F17" s="47"/>
      <c r="G17" s="867"/>
      <c r="H17" s="867"/>
      <c r="I17" s="47"/>
    </row>
    <row r="18" spans="1:9" ht="15.5" x14ac:dyDescent="0.35">
      <c r="A18" s="833"/>
      <c r="B18" s="46"/>
      <c r="C18" s="47"/>
      <c r="D18" s="47"/>
      <c r="E18" s="53"/>
      <c r="F18" s="47"/>
      <c r="G18" s="46"/>
      <c r="H18" s="46"/>
      <c r="I18" s="45"/>
    </row>
    <row r="19" spans="1:9" ht="21" x14ac:dyDescent="0.5">
      <c r="A19" s="833"/>
      <c r="B19" s="45"/>
      <c r="C19" s="54" t="str">
        <f>IF(VSK=0, "UNVOLLSTÄNDIG AUSGEFÜLLT!","")</f>
        <v>UNVOLLSTÄNDIG AUSGEFÜLLT!</v>
      </c>
      <c r="D19" s="45"/>
      <c r="E19" s="45"/>
      <c r="F19" s="451">
        <f>IF(AND(ISNUMBER(S_),ISNUMBER(G)),1,0)</f>
        <v>0</v>
      </c>
      <c r="G19" s="852" t="str">
        <f>IF(VSK&lt;&gt;0, G60,"")</f>
        <v/>
      </c>
      <c r="H19" s="852"/>
      <c r="I19" s="45"/>
    </row>
    <row r="20" spans="1:9" ht="15.5" x14ac:dyDescent="0.35">
      <c r="A20" s="833"/>
      <c r="B20" s="45"/>
      <c r="C20" s="45"/>
      <c r="D20" s="45"/>
      <c r="E20" s="45"/>
      <c r="F20" s="45"/>
      <c r="G20" s="45"/>
      <c r="H20" s="45"/>
      <c r="I20" s="45"/>
    </row>
    <row r="21" spans="1:9" ht="15" customHeight="1" x14ac:dyDescent="0.35">
      <c r="A21" s="830" t="s">
        <v>66</v>
      </c>
      <c r="I21" s="577" t="str">
        <f ca="1">IF(VLOOKUP(B27,CHOOSE({5,4,3,2,1},Gesamt!L32:L65,Gesamt!M32:M65,Gesamt!N32:N65,Gesamt!O32:O65,Gesamt!P32:P65,),4,0)&gt;0,CONCATENATE("Pos. ",VLOOKUP(B27,CHOOSE({5,4,3,2,1},Gesamt!L32:L65,Gesamt!M32:M65,Gesamt!N32:N65,Gesamt!O32:O65,Gesamt!P32:P65,),VLOOKUP(Gesamt!C19,Gesamt!L5:N7,3,0),0)),"")</f>
        <v/>
      </c>
    </row>
    <row r="22" spans="1:9" x14ac:dyDescent="0.35">
      <c r="A22" s="830"/>
      <c r="B22" s="831" t="str">
        <f>CONCATENATE(Gesamt!C2, ": ", Gesamt!E2)</f>
        <v xml:space="preserve">Projekt: </v>
      </c>
      <c r="C22" s="831"/>
      <c r="D22" s="831"/>
      <c r="E22" s="831"/>
      <c r="F22" s="831"/>
      <c r="G22" s="831"/>
      <c r="H22" s="831"/>
      <c r="I22" s="831"/>
    </row>
    <row r="23" spans="1:9" x14ac:dyDescent="0.35">
      <c r="A23" s="830"/>
      <c r="B23" s="832" t="str">
        <f>CONCATENATE(Gesamt!C4, ": ", Gesamt!E4, IF(Gesamt!E5&lt;&gt;""," - ",""), IF(Gesamt!E5&lt;&gt;"",Gesamt!E5,""), IF(Gesamt!E6&lt;&gt;""," - GZ. ",""), IF(Gesamt!E6&lt;&gt;"",Gesamt!E6,""),)</f>
        <v xml:space="preserve">Auftraggeber: </v>
      </c>
      <c r="C23" s="832"/>
      <c r="D23" s="832"/>
      <c r="E23" s="832"/>
      <c r="F23" s="832"/>
      <c r="G23" s="832"/>
      <c r="H23" s="832"/>
      <c r="I23" s="832"/>
    </row>
    <row r="24" spans="1:9" x14ac:dyDescent="0.35">
      <c r="A24" s="830"/>
      <c r="B24" s="832" t="str">
        <f>CONCATENATE(Gesamt!C9, ": ",Gesamt!E9,  IF(Gesamt!C10&lt;&gt;""," - ",""), IF(Gesamt!C10&lt;&gt;"",Gesamt!E10,""), IF(Gesamt!C11&lt;&gt;""," - GZ. ",""), IF(Gesamt!C11&lt;&gt;"",Gesamt!E11,""), )</f>
        <v xml:space="preserve">Bieter:  -  - GZ. </v>
      </c>
      <c r="C24" s="832"/>
      <c r="D24" s="832"/>
      <c r="E24" s="832"/>
      <c r="F24" s="832"/>
      <c r="G24" s="832"/>
      <c r="H24" s="832"/>
      <c r="I24" s="832"/>
    </row>
    <row r="25" spans="1:9" x14ac:dyDescent="0.35">
      <c r="A25" s="830"/>
      <c r="B25" s="832" t="s">
        <v>41</v>
      </c>
      <c r="C25" s="832"/>
      <c r="D25" s="832"/>
      <c r="E25" s="832"/>
      <c r="F25" s="832"/>
      <c r="G25" s="832"/>
      <c r="H25" s="832"/>
      <c r="I25" s="832"/>
    </row>
    <row r="26" spans="1:9" x14ac:dyDescent="0.35">
      <c r="A26" s="830"/>
    </row>
    <row r="27" spans="1:9" ht="18.5" x14ac:dyDescent="0.35">
      <c r="A27" s="830"/>
      <c r="B27" s="843" t="str">
        <f>D2</f>
        <v>Einzelpunkteinschaltung</v>
      </c>
      <c r="C27" s="843"/>
      <c r="D27" s="843"/>
      <c r="E27" s="843"/>
      <c r="F27" s="843"/>
      <c r="G27" s="843"/>
      <c r="H27" s="843"/>
      <c r="I27" s="843"/>
    </row>
    <row r="28" spans="1:9" x14ac:dyDescent="0.35">
      <c r="A28" s="830"/>
    </row>
    <row r="29" spans="1:9" x14ac:dyDescent="0.35">
      <c r="A29" s="830"/>
      <c r="C29" t="s">
        <v>685</v>
      </c>
    </row>
    <row r="30" spans="1:9" x14ac:dyDescent="0.35">
      <c r="A30" s="830"/>
    </row>
    <row r="31" spans="1:9" x14ac:dyDescent="0.35">
      <c r="A31" s="830"/>
      <c r="C31" t="s">
        <v>959</v>
      </c>
      <c r="E31" s="118">
        <f>IS</f>
        <v>0</v>
      </c>
    </row>
    <row r="32" spans="1:9" x14ac:dyDescent="0.35">
      <c r="A32" s="830"/>
      <c r="C32" s="15"/>
    </row>
    <row r="33" spans="1:9" x14ac:dyDescent="0.35">
      <c r="A33" s="830"/>
      <c r="C33" s="30" t="str">
        <f>VLOOKUP($C$5,Konstante!AT$23:BG$26,7,FALSE)</f>
        <v>H = ((2,832 *  S + 1,416) x f + 7,821) * G * IS + N</v>
      </c>
    </row>
    <row r="34" spans="1:9" x14ac:dyDescent="0.35">
      <c r="A34" s="830"/>
    </row>
    <row r="35" spans="1:9" x14ac:dyDescent="0.35">
      <c r="A35" s="830"/>
    </row>
    <row r="36" spans="1:9" x14ac:dyDescent="0.35">
      <c r="A36" s="830"/>
    </row>
    <row r="37" spans="1:9" x14ac:dyDescent="0.35">
      <c r="A37" s="830"/>
      <c r="C37" t="s">
        <v>289</v>
      </c>
      <c r="D37" s="123">
        <f>S_</f>
        <v>0</v>
      </c>
      <c r="E37" t="s">
        <v>303</v>
      </c>
    </row>
    <row r="38" spans="1:9" x14ac:dyDescent="0.35">
      <c r="A38" s="830"/>
      <c r="C38" t="s">
        <v>286</v>
      </c>
      <c r="D38" s="1">
        <f>VLOOKUP(f,Konstante!AE23:AF31,2,FALSE)</f>
        <v>1.1499999999999999</v>
      </c>
      <c r="E38" t="str">
        <f>CONCATENATE(f," - Geländeklasse und Schwierigkeitsstufe")</f>
        <v>Ib - Geländeklasse und Schwierigkeitsstufe</v>
      </c>
    </row>
    <row r="39" spans="1:9" x14ac:dyDescent="0.35">
      <c r="A39" s="830"/>
      <c r="C39" t="s">
        <v>262</v>
      </c>
      <c r="D39" s="268">
        <f>G</f>
        <v>1</v>
      </c>
      <c r="E39" t="s">
        <v>302</v>
      </c>
    </row>
    <row r="40" spans="1:9" x14ac:dyDescent="0.35">
      <c r="A40" s="830"/>
    </row>
    <row r="41" spans="1:9" x14ac:dyDescent="0.35">
      <c r="A41" s="830"/>
    </row>
    <row r="42" spans="1:9" x14ac:dyDescent="0.35">
      <c r="A42" s="830"/>
    </row>
    <row r="43" spans="1:9" x14ac:dyDescent="0.35">
      <c r="A43" s="830"/>
    </row>
    <row r="44" spans="1:9" x14ac:dyDescent="0.35">
      <c r="A44" s="830"/>
      <c r="C44" s="3" t="s">
        <v>60</v>
      </c>
      <c r="D44" s="3"/>
      <c r="E44" s="3"/>
      <c r="F44" s="22">
        <f>IF(VSK&lt;&gt;0,((2.832 * S_ + M13) * VLOOKUP(f,Konstante!AE23:AF31,2,FALSE) + M14) * G * M15 * IS,0)</f>
        <v>0</v>
      </c>
      <c r="G44" s="3"/>
      <c r="H44" s="3"/>
      <c r="I44" s="3"/>
    </row>
    <row r="45" spans="1:9" x14ac:dyDescent="0.35">
      <c r="A45" s="830"/>
      <c r="F45" s="28"/>
    </row>
    <row r="46" spans="1:9" x14ac:dyDescent="0.35">
      <c r="A46" s="830"/>
    </row>
    <row r="47" spans="1:9" x14ac:dyDescent="0.35">
      <c r="A47" s="830"/>
    </row>
    <row r="48" spans="1:9" x14ac:dyDescent="0.35">
      <c r="A48" s="830"/>
      <c r="B48" s="3"/>
    </row>
    <row r="49" spans="1:9" x14ac:dyDescent="0.35">
      <c r="A49" s="830"/>
    </row>
    <row r="50" spans="1:9" x14ac:dyDescent="0.35">
      <c r="A50" s="830"/>
    </row>
    <row r="51" spans="1:9" x14ac:dyDescent="0.35">
      <c r="A51" s="830"/>
    </row>
    <row r="52" spans="1:9" x14ac:dyDescent="0.35">
      <c r="A52" s="830"/>
    </row>
    <row r="53" spans="1:9" x14ac:dyDescent="0.35">
      <c r="A53" s="830"/>
    </row>
    <row r="54" spans="1:9" x14ac:dyDescent="0.35">
      <c r="A54" s="830"/>
    </row>
    <row r="55" spans="1:9" x14ac:dyDescent="0.35">
      <c r="A55" s="830"/>
    </row>
    <row r="56" spans="1:9" x14ac:dyDescent="0.35">
      <c r="A56" s="830"/>
      <c r="B56" s="3"/>
      <c r="C56" t="str">
        <f>IF(AND(ZuAbschlag&lt;&gt;0,VSK&lt;&gt;0),"Zu-/Abschlag:","")</f>
        <v/>
      </c>
      <c r="E56" s="15" t="str">
        <f>IF(AND(ZuAbschlag&lt;&gt;0,VSK&lt;&gt;0),ZuAbschlag,"")</f>
        <v/>
      </c>
      <c r="F56" s="17" t="str">
        <f>IF(AND(ZuAbschlag&lt;&gt;0,VSK&lt;&gt;0),F44*E56,"")</f>
        <v/>
      </c>
      <c r="G56" s="1" t="str">
        <f>IF(AND(ZuAbschlag&lt;&gt;0,VSK&lt;&gt;0,G16&lt;&gt;""),G16,"")</f>
        <v/>
      </c>
    </row>
    <row r="57" spans="1:9" x14ac:dyDescent="0.35">
      <c r="A57" s="830"/>
      <c r="C57" t="str">
        <f>IF(AND(NK&lt;&gt;0,VSK&lt;&gt;0),"Nebenkosten:","")</f>
        <v/>
      </c>
      <c r="F57" s="17" t="str">
        <f>IF(AND(NK&lt;&gt;0,VSK&lt;&gt;0),NK,"")</f>
        <v/>
      </c>
      <c r="G57" s="1" t="str">
        <f>IF(AND(NK&lt;&gt;0,VSK&lt;&gt;0,G17&lt;&gt;""),G17,"")</f>
        <v/>
      </c>
    </row>
    <row r="58" spans="1:9" x14ac:dyDescent="0.35">
      <c r="A58" s="830"/>
      <c r="C58" s="78"/>
      <c r="D58" s="78"/>
      <c r="E58" s="78"/>
      <c r="F58" s="78"/>
      <c r="G58" s="78"/>
      <c r="H58" s="78"/>
    </row>
    <row r="59" spans="1:9" ht="15.5" x14ac:dyDescent="0.35">
      <c r="A59" s="830"/>
      <c r="I59" s="16"/>
    </row>
    <row r="60" spans="1:9" ht="15.5" x14ac:dyDescent="0.35">
      <c r="A60" s="830"/>
      <c r="C60" s="16" t="s">
        <v>65</v>
      </c>
      <c r="D60" s="16"/>
      <c r="E60" s="16"/>
      <c r="F60" s="16"/>
      <c r="G60" s="842">
        <f>IF(VSK&gt;0,SUM(F44,F56,F57),0)</f>
        <v>0</v>
      </c>
      <c r="H60" s="842"/>
    </row>
    <row r="61" spans="1:9" ht="15.5" x14ac:dyDescent="0.35">
      <c r="A61" s="830"/>
      <c r="B61" s="16"/>
    </row>
    <row r="62" spans="1:9" x14ac:dyDescent="0.35">
      <c r="A62" s="830"/>
    </row>
    <row r="63" spans="1:9" x14ac:dyDescent="0.35">
      <c r="A63" s="830"/>
    </row>
    <row r="64" spans="1:9" x14ac:dyDescent="0.35">
      <c r="A64" s="830"/>
    </row>
    <row r="65" spans="1:1" x14ac:dyDescent="0.35">
      <c r="A65" s="830"/>
    </row>
    <row r="66" spans="1:1" x14ac:dyDescent="0.35">
      <c r="A66" s="830"/>
    </row>
    <row r="67" spans="1:1" x14ac:dyDescent="0.35">
      <c r="A67" s="830"/>
    </row>
    <row r="68" spans="1:1" x14ac:dyDescent="0.35">
      <c r="A68" s="830"/>
    </row>
    <row r="69" spans="1:1" x14ac:dyDescent="0.35">
      <c r="A69" s="830"/>
    </row>
  </sheetData>
  <mergeCells count="13">
    <mergeCell ref="B23:I23"/>
    <mergeCell ref="B22:I22"/>
    <mergeCell ref="A21:A69"/>
    <mergeCell ref="A1:A20"/>
    <mergeCell ref="D2:H2"/>
    <mergeCell ref="G17:H17"/>
    <mergeCell ref="G19:H19"/>
    <mergeCell ref="G16:H16"/>
    <mergeCell ref="C5:H5"/>
    <mergeCell ref="B27:I27"/>
    <mergeCell ref="B25:I25"/>
    <mergeCell ref="B24:I24"/>
    <mergeCell ref="G60:H60"/>
  </mergeCells>
  <dataValidations count="4">
    <dataValidation type="decimal" allowBlank="1" showInputMessage="1" showErrorMessage="1" sqref="H11" xr:uid="{00000000-0002-0000-0500-000000000000}">
      <formula1>0</formula1>
      <formula2>2</formula2>
    </dataValidation>
    <dataValidation type="decimal" operator="greaterThan" allowBlank="1" showInputMessage="1" showErrorMessage="1" error="Polygonzug muss  mindestens 0,01 km lang sein!" sqref="H7" xr:uid="{00000000-0002-0000-0500-000001000000}">
      <formula1>0.005</formula1>
    </dataValidation>
    <dataValidation type="decimal" operator="greaterThan" showInputMessage="1" showErrorMessage="1" sqref="E16" xr:uid="{00000000-0002-0000-0500-000002000000}">
      <formula1>-1000</formula1>
    </dataValidation>
    <dataValidation type="decimal" operator="greaterThan" allowBlank="1" showInputMessage="1" showErrorMessage="1" sqref="E17" xr:uid="{00000000-0002-0000-0500-000003000000}">
      <formula1>-1000000</formula1>
    </dataValidation>
  </dataValidations>
  <pageMargins left="0.70866141732283472" right="0.39370078740157483" top="0.59055118110236227" bottom="0.59055118110236227" header="0.31496062992125984" footer="0.31496062992125984"/>
  <pageSetup paperSize="9" orientation="portrait" r:id="rId1"/>
  <headerFooter>
    <oddFooter>&amp;L&amp;9&amp;F, &amp;A&amp;R&amp;9&amp;D</oddFooter>
  </headerFooter>
  <legacyDrawing r:id="rId2"/>
  <legacyDrawingHF r:id="rId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500-000004000000}">
          <x14:formula1>
            <xm:f>Konstante!$AE$23:$AE$31</xm:f>
          </x14:formula1>
          <xm:sqref>H9</xm:sqref>
        </x14:dataValidation>
        <x14:dataValidation type="list" allowBlank="1" showInputMessage="1" showErrorMessage="1" xr:uid="{00000000-0002-0000-0500-000005000000}">
          <x14:formula1>
            <xm:f>Konstante!$AT$23:$AT$26</xm:f>
          </x14:formula1>
          <xm:sqref>C5:H5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8"/>
  <dimension ref="A1:P69"/>
  <sheetViews>
    <sheetView workbookViewId="0">
      <selection activeCell="D6" sqref="D6"/>
    </sheetView>
  </sheetViews>
  <sheetFormatPr baseColWidth="10" defaultColWidth="11.453125" defaultRowHeight="14.5" x14ac:dyDescent="0.35"/>
  <cols>
    <col min="1" max="1" width="4" customWidth="1"/>
    <col min="2" max="2" width="6.7265625" customWidth="1"/>
    <col min="3" max="8" width="12.7265625" customWidth="1"/>
    <col min="9" max="9" width="5.7265625" customWidth="1"/>
  </cols>
  <sheetData>
    <row r="1" spans="1:16" ht="15.75" customHeight="1" x14ac:dyDescent="0.35">
      <c r="A1" s="833" t="s">
        <v>35</v>
      </c>
      <c r="B1" s="45"/>
      <c r="C1" s="45"/>
      <c r="D1" s="45"/>
      <c r="E1" s="45"/>
      <c r="F1" s="45"/>
      <c r="G1" s="45"/>
      <c r="H1" s="45"/>
      <c r="I1" s="45"/>
      <c r="K1" s="93" t="s">
        <v>699</v>
      </c>
      <c r="L1" s="93"/>
      <c r="M1" s="93"/>
      <c r="N1" s="94">
        <f ca="1">CELL("ZEILE",B27)</f>
        <v>27</v>
      </c>
    </row>
    <row r="2" spans="1:16" ht="23.5" x14ac:dyDescent="0.35">
      <c r="A2" s="833"/>
      <c r="B2" s="46"/>
      <c r="C2" s="47" t="s">
        <v>36</v>
      </c>
      <c r="D2" s="864" t="s">
        <v>85</v>
      </c>
      <c r="E2" s="865"/>
      <c r="F2" s="865"/>
      <c r="G2" s="865"/>
      <c r="H2" s="866"/>
      <c r="I2" s="45"/>
      <c r="K2" s="175" t="s">
        <v>700</v>
      </c>
      <c r="L2" s="155"/>
      <c r="M2" s="155"/>
      <c r="N2" s="175">
        <f ca="1">CELL("ZEILE",G60)</f>
        <v>60</v>
      </c>
    </row>
    <row r="3" spans="1:16" ht="23.5" x14ac:dyDescent="0.35">
      <c r="A3" s="833"/>
      <c r="B3" s="46"/>
      <c r="C3" s="47"/>
      <c r="D3" s="58"/>
      <c r="E3" s="59"/>
      <c r="F3" s="59"/>
      <c r="G3" s="59"/>
      <c r="H3" s="60"/>
      <c r="I3" s="45"/>
      <c r="K3" s="175" t="s">
        <v>701</v>
      </c>
      <c r="L3" s="155"/>
      <c r="M3" s="155"/>
      <c r="N3" s="175">
        <f>F19</f>
        <v>0</v>
      </c>
    </row>
    <row r="4" spans="1:16" ht="15.5" x14ac:dyDescent="0.35">
      <c r="A4" s="833"/>
      <c r="B4" s="46"/>
      <c r="C4" s="330" t="s">
        <v>315</v>
      </c>
      <c r="D4" s="330" t="s">
        <v>246</v>
      </c>
      <c r="E4" s="330"/>
      <c r="F4" s="330" t="s">
        <v>314</v>
      </c>
      <c r="G4" s="330"/>
      <c r="H4" s="330" t="s">
        <v>312</v>
      </c>
      <c r="I4" s="330"/>
    </row>
    <row r="5" spans="1:16" ht="15.5" x14ac:dyDescent="0.35">
      <c r="A5" s="833"/>
      <c r="B5" s="46"/>
      <c r="C5" s="330" t="s">
        <v>311</v>
      </c>
      <c r="D5" s="330" t="s">
        <v>310</v>
      </c>
      <c r="E5" s="330"/>
      <c r="F5" s="330" t="s">
        <v>309</v>
      </c>
      <c r="G5" s="330"/>
      <c r="H5" s="330" t="s">
        <v>307</v>
      </c>
      <c r="I5" s="330"/>
      <c r="M5" s="94"/>
    </row>
    <row r="6" spans="1:16" ht="15.5" x14ac:dyDescent="0.35">
      <c r="A6" s="833"/>
      <c r="B6" s="46"/>
      <c r="C6" s="334">
        <v>1</v>
      </c>
      <c r="D6" s="122"/>
      <c r="E6" s="317"/>
      <c r="F6" s="333">
        <v>1</v>
      </c>
      <c r="G6" s="330"/>
      <c r="H6" s="317" t="str">
        <f>IF(F6=1, "1,5 mgon",IF(F6&gt;1,"besser 1,5 mgon","schlechter 1,5 mgon"))</f>
        <v>1,5 mgon</v>
      </c>
      <c r="I6" s="317"/>
      <c r="K6" s="254" t="s">
        <v>324</v>
      </c>
      <c r="M6" s="427">
        <f>IF(AND(ISNUMBER(D6),ISNUMBER(F6)),1,0)</f>
        <v>0</v>
      </c>
    </row>
    <row r="7" spans="1:16" ht="15.5" x14ac:dyDescent="0.35">
      <c r="A7" s="833"/>
      <c r="B7" s="46"/>
      <c r="C7" s="334">
        <v>2</v>
      </c>
      <c r="D7" s="122"/>
      <c r="E7" s="317"/>
      <c r="F7" s="333">
        <v>1</v>
      </c>
      <c r="G7" s="330"/>
      <c r="H7" s="317" t="str">
        <f t="shared" ref="H7:H10" si="0">IF(F7=1, "1,5 mgon",IF(F7&gt;1,"besser 1,5 mgon","schlechter 1,5 mgon"))</f>
        <v>1,5 mgon</v>
      </c>
      <c r="I7" s="317"/>
      <c r="K7" s="254" t="s">
        <v>323</v>
      </c>
      <c r="M7" s="427">
        <f t="shared" ref="M7:M10" si="1">IF(AND(ISNUMBER(D7),ISNUMBER(F7)),1,0)</f>
        <v>0</v>
      </c>
    </row>
    <row r="8" spans="1:16" ht="15.5" x14ac:dyDescent="0.35">
      <c r="A8" s="833"/>
      <c r="B8" s="46"/>
      <c r="C8" s="334">
        <v>3</v>
      </c>
      <c r="D8" s="122"/>
      <c r="E8" s="317"/>
      <c r="F8" s="333">
        <v>1</v>
      </c>
      <c r="G8" s="330"/>
      <c r="H8" s="317" t="str">
        <f t="shared" si="0"/>
        <v>1,5 mgon</v>
      </c>
      <c r="I8" s="317"/>
      <c r="K8" s="254" t="s">
        <v>322</v>
      </c>
      <c r="M8" s="427">
        <f t="shared" si="1"/>
        <v>0</v>
      </c>
    </row>
    <row r="9" spans="1:16" ht="15.5" x14ac:dyDescent="0.35">
      <c r="A9" s="833"/>
      <c r="B9" s="46"/>
      <c r="C9" s="334">
        <v>4</v>
      </c>
      <c r="D9" s="122"/>
      <c r="E9" s="317"/>
      <c r="F9" s="333">
        <v>1</v>
      </c>
      <c r="G9" s="330"/>
      <c r="H9" s="317" t="str">
        <f t="shared" si="0"/>
        <v>1,5 mgon</v>
      </c>
      <c r="I9" s="317"/>
      <c r="K9" s="254" t="s">
        <v>321</v>
      </c>
      <c r="M9" s="427">
        <f t="shared" si="1"/>
        <v>0</v>
      </c>
    </row>
    <row r="10" spans="1:16" ht="15.5" x14ac:dyDescent="0.35">
      <c r="A10" s="833"/>
      <c r="B10" s="46"/>
      <c r="C10" s="334">
        <v>5</v>
      </c>
      <c r="D10" s="122"/>
      <c r="E10" s="317"/>
      <c r="F10" s="333">
        <v>1</v>
      </c>
      <c r="G10" s="330"/>
      <c r="H10" s="317" t="str">
        <f t="shared" si="0"/>
        <v>1,5 mgon</v>
      </c>
      <c r="I10" s="317"/>
      <c r="K10" s="254" t="s">
        <v>320</v>
      </c>
      <c r="M10" s="427">
        <f t="shared" si="1"/>
        <v>0</v>
      </c>
    </row>
    <row r="11" spans="1:16" ht="15.5" x14ac:dyDescent="0.35">
      <c r="A11" s="833"/>
      <c r="B11" s="46"/>
      <c r="C11" s="317"/>
      <c r="D11" s="317"/>
      <c r="E11" s="317"/>
      <c r="F11" s="317"/>
      <c r="G11" s="317"/>
      <c r="H11" s="317"/>
      <c r="I11" s="317"/>
      <c r="K11" s="254"/>
      <c r="L11" s="254"/>
      <c r="N11" s="254"/>
      <c r="O11" s="254"/>
    </row>
    <row r="12" spans="1:16" ht="15.5" x14ac:dyDescent="0.35">
      <c r="A12" s="833"/>
      <c r="B12" s="46"/>
      <c r="C12" s="51" t="str">
        <f>IF(AND(VSK=0,SUM(M7:M10)&gt;0),"Azimutgruppe 1 ausfüllen!","")</f>
        <v/>
      </c>
      <c r="D12" s="317"/>
      <c r="E12" s="317"/>
      <c r="F12" s="317"/>
      <c r="G12" s="317"/>
      <c r="H12" s="317"/>
      <c r="I12" s="317"/>
    </row>
    <row r="13" spans="1:16" ht="15.5" x14ac:dyDescent="0.35">
      <c r="A13" s="833"/>
      <c r="B13" s="45"/>
      <c r="C13" s="317"/>
      <c r="D13" s="317"/>
      <c r="E13" s="317"/>
      <c r="F13" s="317"/>
      <c r="G13" s="317"/>
      <c r="H13" s="317"/>
      <c r="I13" s="46"/>
      <c r="K13" s="254"/>
      <c r="L13" s="254"/>
      <c r="M13" s="332"/>
      <c r="N13" s="254"/>
      <c r="O13" s="254"/>
      <c r="P13" s="254"/>
    </row>
    <row r="14" spans="1:16" ht="15.5" x14ac:dyDescent="0.35">
      <c r="A14" s="833"/>
      <c r="B14" s="46"/>
      <c r="C14" s="317"/>
      <c r="D14" s="317"/>
      <c r="E14" s="317"/>
      <c r="F14" s="317"/>
      <c r="G14" s="317"/>
      <c r="H14" s="317"/>
      <c r="I14" s="47"/>
      <c r="K14" s="254"/>
      <c r="L14" s="254"/>
      <c r="M14" s="332"/>
      <c r="N14" s="254"/>
      <c r="O14" s="254"/>
      <c r="P14" s="254"/>
    </row>
    <row r="15" spans="1:16" ht="15.5" x14ac:dyDescent="0.35">
      <c r="A15" s="833"/>
      <c r="B15" s="46"/>
      <c r="C15" s="317"/>
      <c r="D15" s="318"/>
      <c r="E15" s="317"/>
      <c r="F15" s="319"/>
      <c r="G15" s="592" t="s">
        <v>633</v>
      </c>
      <c r="H15" s="319"/>
      <c r="I15" s="47"/>
      <c r="K15" s="254"/>
      <c r="L15" s="254"/>
      <c r="M15" s="332"/>
      <c r="N15" s="254"/>
      <c r="O15" s="254"/>
      <c r="P15" s="254"/>
    </row>
    <row r="16" spans="1:16" ht="15.5" x14ac:dyDescent="0.35">
      <c r="A16" s="833"/>
      <c r="B16" s="46"/>
      <c r="C16" s="47" t="s">
        <v>34</v>
      </c>
      <c r="D16" s="47"/>
      <c r="E16" s="320"/>
      <c r="F16" s="47"/>
      <c r="G16" s="868"/>
      <c r="H16" s="869"/>
      <c r="I16" s="47"/>
      <c r="K16" s="254"/>
      <c r="L16" s="254"/>
      <c r="M16" s="254"/>
      <c r="N16" s="254"/>
      <c r="O16" s="254"/>
      <c r="P16" s="254"/>
    </row>
    <row r="17" spans="1:16" ht="15.5" x14ac:dyDescent="0.35">
      <c r="A17" s="833"/>
      <c r="B17" s="46"/>
      <c r="C17" s="47" t="s">
        <v>1</v>
      </c>
      <c r="D17" s="47"/>
      <c r="E17" s="321"/>
      <c r="F17" s="47"/>
      <c r="G17" s="867"/>
      <c r="H17" s="867"/>
      <c r="I17" s="47"/>
    </row>
    <row r="18" spans="1:16" ht="15.5" x14ac:dyDescent="0.35">
      <c r="A18" s="833"/>
      <c r="B18" s="46"/>
      <c r="C18" s="47"/>
      <c r="D18" s="47"/>
      <c r="E18" s="53"/>
      <c r="F18" s="47"/>
      <c r="G18" s="46"/>
      <c r="H18" s="46"/>
      <c r="I18" s="45"/>
    </row>
    <row r="19" spans="1:16" ht="21" x14ac:dyDescent="0.5">
      <c r="A19" s="833"/>
      <c r="B19" s="45"/>
      <c r="C19" s="54" t="str">
        <f>IF(VSK=0, "UNVOLLSTÄNDIG AUSGEFÜLLT!","")</f>
        <v>UNVOLLSTÄNDIG AUSGEFÜLLT!</v>
      </c>
      <c r="D19" s="45"/>
      <c r="E19" s="45"/>
      <c r="F19" s="451">
        <f>IF((SUM(M7:M10)*M6+M6)&gt;0,1,0)</f>
        <v>0</v>
      </c>
      <c r="G19" s="852" t="str">
        <f>IF(VSK&lt;&gt;0, G60,"")</f>
        <v/>
      </c>
      <c r="H19" s="852"/>
      <c r="I19" s="45"/>
      <c r="P19" s="254"/>
    </row>
    <row r="20" spans="1:16" ht="15.5" x14ac:dyDescent="0.35">
      <c r="A20" s="833"/>
      <c r="B20" s="45"/>
      <c r="C20" s="45"/>
      <c r="D20" s="45"/>
      <c r="E20" s="45"/>
      <c r="F20" s="45"/>
      <c r="G20" s="45"/>
      <c r="H20" s="45"/>
      <c r="I20" s="45"/>
    </row>
    <row r="21" spans="1:16" ht="15" customHeight="1" x14ac:dyDescent="0.35">
      <c r="A21" s="830" t="s">
        <v>66</v>
      </c>
      <c r="I21" s="577" t="str">
        <f ca="1">IF(VLOOKUP(B27,CHOOSE({5,4,3,2,1},Gesamt!L32:L65,Gesamt!M32:M65,Gesamt!N32:N65,Gesamt!O32:O65,Gesamt!P32:P65,),4,0)&gt;0,CONCATENATE("Pos. ",VLOOKUP(B27,CHOOSE({5,4,3,2,1},Gesamt!L32:L65,Gesamt!M32:M65,Gesamt!N32:N65,Gesamt!O32:O65,Gesamt!P32:P65,),VLOOKUP(Gesamt!C19,Gesamt!L5:N7,3,0),0)),"")</f>
        <v/>
      </c>
    </row>
    <row r="22" spans="1:16" x14ac:dyDescent="0.35">
      <c r="A22" s="830"/>
      <c r="B22" s="831" t="str">
        <f>CONCATENATE(Gesamt!C2, ": ", Gesamt!E2)</f>
        <v xml:space="preserve">Projekt: </v>
      </c>
      <c r="C22" s="831"/>
      <c r="D22" s="831"/>
      <c r="E22" s="831"/>
      <c r="F22" s="831"/>
      <c r="G22" s="831"/>
      <c r="H22" s="831"/>
      <c r="I22" s="831"/>
    </row>
    <row r="23" spans="1:16" x14ac:dyDescent="0.35">
      <c r="A23" s="830"/>
      <c r="B23" s="832" t="str">
        <f>CONCATENATE(Gesamt!C4, ": ", Gesamt!E4, IF(Gesamt!E5&lt;&gt;""," - ",""), IF(Gesamt!E5&lt;&gt;"",Gesamt!E5,""), IF(Gesamt!E6&lt;&gt;""," - GZ. ",""), IF(Gesamt!E6&lt;&gt;"",Gesamt!E6,""),)</f>
        <v xml:space="preserve">Auftraggeber: </v>
      </c>
      <c r="C23" s="832"/>
      <c r="D23" s="832"/>
      <c r="E23" s="832"/>
      <c r="F23" s="832"/>
      <c r="G23" s="832"/>
      <c r="H23" s="832"/>
      <c r="I23" s="832"/>
    </row>
    <row r="24" spans="1:16" x14ac:dyDescent="0.35">
      <c r="A24" s="830"/>
      <c r="B24" s="832" t="str">
        <f>CONCATENATE(Gesamt!C9, ": ",Gesamt!E9,  IF(Gesamt!C10&lt;&gt;""," - ",""), IF(Gesamt!C10&lt;&gt;"",Gesamt!E10,""), IF(Gesamt!C11&lt;&gt;""," - GZ. ",""), IF(Gesamt!C11&lt;&gt;"",Gesamt!E11,""), )</f>
        <v xml:space="preserve">Bieter:  -  - GZ. </v>
      </c>
      <c r="C24" s="832"/>
      <c r="D24" s="832"/>
      <c r="E24" s="832"/>
      <c r="F24" s="832"/>
      <c r="G24" s="832"/>
      <c r="H24" s="832"/>
      <c r="I24" s="832"/>
    </row>
    <row r="25" spans="1:16" x14ac:dyDescent="0.35">
      <c r="A25" s="830"/>
      <c r="B25" s="832" t="s">
        <v>41</v>
      </c>
      <c r="C25" s="832"/>
      <c r="D25" s="832"/>
      <c r="E25" s="832"/>
      <c r="F25" s="832"/>
      <c r="G25" s="832"/>
      <c r="H25" s="832"/>
      <c r="I25" s="832"/>
    </row>
    <row r="26" spans="1:16" x14ac:dyDescent="0.35">
      <c r="A26" s="830"/>
    </row>
    <row r="27" spans="1:16" ht="18.5" x14ac:dyDescent="0.35">
      <c r="A27" s="830"/>
      <c r="B27" s="843" t="str">
        <f>D2</f>
        <v>Kreisel-Stütz-Azimut</v>
      </c>
      <c r="C27" s="843"/>
      <c r="D27" s="843"/>
      <c r="E27" s="843"/>
      <c r="F27" s="843"/>
      <c r="G27" s="843"/>
      <c r="H27" s="843"/>
      <c r="I27" s="843"/>
    </row>
    <row r="28" spans="1:16" x14ac:dyDescent="0.35">
      <c r="A28" s="830"/>
    </row>
    <row r="29" spans="1:16" x14ac:dyDescent="0.35">
      <c r="A29" s="830"/>
      <c r="C29" t="s">
        <v>686</v>
      </c>
    </row>
    <row r="30" spans="1:16" x14ac:dyDescent="0.35">
      <c r="A30" s="830"/>
    </row>
    <row r="31" spans="1:16" x14ac:dyDescent="0.35">
      <c r="A31" s="830"/>
      <c r="C31" t="s">
        <v>959</v>
      </c>
      <c r="E31" s="118">
        <f>IS</f>
        <v>0</v>
      </c>
    </row>
    <row r="32" spans="1:16" x14ac:dyDescent="0.35">
      <c r="A32" s="830"/>
      <c r="C32" s="15"/>
    </row>
    <row r="33" spans="1:9" x14ac:dyDescent="0.35">
      <c r="A33" s="830"/>
      <c r="C33" s="30" t="s">
        <v>319</v>
      </c>
      <c r="E33" s="30" t="s">
        <v>318</v>
      </c>
    </row>
    <row r="34" spans="1:9" x14ac:dyDescent="0.35">
      <c r="A34" s="830"/>
      <c r="C34" t="s">
        <v>317</v>
      </c>
      <c r="E34" s="30" t="s">
        <v>316</v>
      </c>
    </row>
    <row r="35" spans="1:9" x14ac:dyDescent="0.35">
      <c r="A35" s="830"/>
    </row>
    <row r="36" spans="1:9" x14ac:dyDescent="0.35">
      <c r="A36" s="830"/>
    </row>
    <row r="37" spans="1:9" x14ac:dyDescent="0.35">
      <c r="A37" s="830"/>
      <c r="C37" s="234" t="s">
        <v>315</v>
      </c>
      <c r="D37" s="201" t="s">
        <v>246</v>
      </c>
      <c r="E37" s="201" t="s">
        <v>314</v>
      </c>
      <c r="F37" s="409" t="s">
        <v>313</v>
      </c>
      <c r="G37" s="234"/>
      <c r="H37" s="234" t="s">
        <v>312</v>
      </c>
    </row>
    <row r="38" spans="1:9" x14ac:dyDescent="0.35">
      <c r="A38" s="830"/>
      <c r="C38" s="405" t="s">
        <v>311</v>
      </c>
      <c r="D38" s="572" t="s">
        <v>310</v>
      </c>
      <c r="E38" s="572" t="s">
        <v>309</v>
      </c>
      <c r="F38" s="573" t="s">
        <v>308</v>
      </c>
      <c r="G38" s="405"/>
      <c r="H38" s="405" t="s">
        <v>307</v>
      </c>
    </row>
    <row r="39" spans="1:9" x14ac:dyDescent="0.35">
      <c r="A39" s="830"/>
      <c r="C39" s="570" t="str">
        <f>IF($M$6&gt;0,"1","")</f>
        <v/>
      </c>
      <c r="D39" s="570" t="str">
        <f>IF($M$6&gt;0,D6,"")</f>
        <v/>
      </c>
      <c r="E39" s="574" t="str">
        <f>IF($M$6&gt;0,F6,"")</f>
        <v/>
      </c>
      <c r="F39" s="335" t="str">
        <f>IF(VSK&lt;&gt;0, ((15*D39+61.2)*E39*IS),"")</f>
        <v/>
      </c>
      <c r="G39" s="2"/>
      <c r="H39" s="293" t="str">
        <f>IF($M$6&gt;0,H6,"")</f>
        <v/>
      </c>
    </row>
    <row r="40" spans="1:9" x14ac:dyDescent="0.35">
      <c r="A40" s="830"/>
      <c r="C40" s="570" t="str">
        <f>IF(AND($M$6&gt;0,M7&gt;0),"2","")</f>
        <v/>
      </c>
      <c r="D40" s="570" t="str">
        <f>IF(AND($M$6&gt;0,M7&gt;0),D7,"")</f>
        <v/>
      </c>
      <c r="E40" s="574" t="str">
        <f>IF(AND($M$6&gt;0,M7&gt;0),F7,"")</f>
        <v/>
      </c>
      <c r="F40" s="335" t="str">
        <f>IF(AND(M7&lt;&gt;0,VSK&gt;0), ((15*D40+31.5)*E40*IS),"")</f>
        <v/>
      </c>
      <c r="G40" s="2"/>
      <c r="H40" s="293" t="str">
        <f>IF(AND($M$6&gt;0,M7&gt;0),H7,"")</f>
        <v/>
      </c>
    </row>
    <row r="41" spans="1:9" x14ac:dyDescent="0.35">
      <c r="A41" s="830"/>
      <c r="C41" s="570" t="str">
        <f>IF(AND($M$6&gt;0,M8&gt;0),"3","")</f>
        <v/>
      </c>
      <c r="D41" s="570" t="str">
        <f t="shared" ref="D41:D43" si="2">IF(AND($M$6&gt;0,M8&gt;0),D8,"")</f>
        <v/>
      </c>
      <c r="E41" s="574" t="str">
        <f>IF(AND($M$6&gt;0,M8&gt;0),F8,"")</f>
        <v/>
      </c>
      <c r="F41" s="335" t="str">
        <f>IF(AND(M8&lt;&gt;0,VSK&gt;0), ((15*D41+31.5)*E41*IS),"")</f>
        <v/>
      </c>
      <c r="G41" s="2"/>
      <c r="H41" s="293" t="str">
        <f t="shared" ref="H41:H43" si="3">IF(AND($M$6&gt;0,M8&gt;0),H8,"")</f>
        <v/>
      </c>
    </row>
    <row r="42" spans="1:9" x14ac:dyDescent="0.35">
      <c r="A42" s="830"/>
      <c r="C42" s="570" t="str">
        <f>IF(AND($M$6&gt;0,M9&gt;0),"4","")</f>
        <v/>
      </c>
      <c r="D42" s="570" t="str">
        <f t="shared" si="2"/>
        <v/>
      </c>
      <c r="E42" s="574" t="str">
        <f>IF(AND($M$6&gt;0,M9&gt;0),F9,"")</f>
        <v/>
      </c>
      <c r="F42" s="335" t="str">
        <f>IF(AND(M9&lt;&gt;0,VSK&gt;0), ((15*D42+31.5)*E42*IS),"")</f>
        <v/>
      </c>
      <c r="G42" s="2"/>
      <c r="H42" s="293" t="str">
        <f t="shared" si="3"/>
        <v/>
      </c>
    </row>
    <row r="43" spans="1:9" x14ac:dyDescent="0.35">
      <c r="A43" s="830"/>
      <c r="C43" s="570" t="str">
        <f>IF(AND($M$6&gt;0,M10&gt;0),"5","")</f>
        <v/>
      </c>
      <c r="D43" s="570" t="str">
        <f t="shared" si="2"/>
        <v/>
      </c>
      <c r="E43" s="574" t="str">
        <f>IF(AND($M$6&gt;0,M10&gt;0),F10,"")</f>
        <v/>
      </c>
      <c r="F43" s="335" t="str">
        <f>IF(AND(M10&lt;&gt;0,VSK&gt;0), ((15*D43+31.5)*E43*IS),"")</f>
        <v/>
      </c>
      <c r="G43" s="2"/>
      <c r="H43" s="293" t="str">
        <f t="shared" si="3"/>
        <v/>
      </c>
    </row>
    <row r="44" spans="1:9" x14ac:dyDescent="0.35">
      <c r="A44" s="830"/>
      <c r="C44" s="570"/>
      <c r="D44" s="570"/>
      <c r="E44" s="127"/>
      <c r="F44" s="574"/>
      <c r="G44" s="2"/>
      <c r="H44" s="293"/>
      <c r="I44" s="3"/>
    </row>
    <row r="45" spans="1:9" x14ac:dyDescent="0.35">
      <c r="A45" s="830"/>
      <c r="F45" s="28"/>
    </row>
    <row r="46" spans="1:9" x14ac:dyDescent="0.35">
      <c r="A46" s="830"/>
      <c r="C46" s="3" t="s">
        <v>60</v>
      </c>
      <c r="D46" s="3"/>
      <c r="E46" s="3"/>
      <c r="F46" s="22">
        <f>IF(VSK&lt;&gt;0,SUM(F39:F43),0)</f>
        <v>0</v>
      </c>
      <c r="G46" s="1"/>
    </row>
    <row r="47" spans="1:9" x14ac:dyDescent="0.35">
      <c r="A47" s="830"/>
      <c r="F47" s="28"/>
      <c r="G47" s="1"/>
    </row>
    <row r="48" spans="1:9" x14ac:dyDescent="0.35">
      <c r="A48" s="830"/>
      <c r="B48" s="3"/>
    </row>
    <row r="49" spans="1:9" x14ac:dyDescent="0.35">
      <c r="A49" s="830"/>
    </row>
    <row r="50" spans="1:9" ht="15.5" x14ac:dyDescent="0.35">
      <c r="A50" s="830"/>
      <c r="I50" s="16"/>
    </row>
    <row r="51" spans="1:9" x14ac:dyDescent="0.35">
      <c r="A51" s="830"/>
    </row>
    <row r="52" spans="1:9" x14ac:dyDescent="0.35">
      <c r="A52" s="830"/>
    </row>
    <row r="53" spans="1:9" x14ac:dyDescent="0.35">
      <c r="A53" s="830"/>
    </row>
    <row r="54" spans="1:9" x14ac:dyDescent="0.35">
      <c r="A54" s="830"/>
    </row>
    <row r="55" spans="1:9" x14ac:dyDescent="0.35">
      <c r="A55" s="830"/>
    </row>
    <row r="56" spans="1:9" x14ac:dyDescent="0.35">
      <c r="A56" s="830"/>
      <c r="B56" s="3"/>
      <c r="C56" t="str">
        <f>IF(AND(ZuAbschlag&lt;&gt;0,VSK&lt;&gt;0),"Zu-/Abschlag:","")</f>
        <v/>
      </c>
      <c r="E56" s="15" t="str">
        <f>IF(AND(ZuAbschlag&lt;&gt;0,VSK&lt;&gt;0),ZuAbschlag,"")</f>
        <v/>
      </c>
      <c r="F56" s="17" t="str">
        <f>IF(AND(ZuAbschlag&lt;&gt;0,VSK&lt;&gt;0),E56*F46,"")</f>
        <v/>
      </c>
      <c r="G56" s="1" t="str">
        <f>IF(AND(ZuAbschlag&lt;&gt;0,VSK&lt;&gt;0,G16&lt;&gt;""),G16,"")</f>
        <v/>
      </c>
    </row>
    <row r="57" spans="1:9" x14ac:dyDescent="0.35">
      <c r="A57" s="830"/>
      <c r="C57" t="str">
        <f>IF(AND(NK&lt;&gt;0,VSK&lt;&gt;0),"Nebenkosten:","")</f>
        <v/>
      </c>
      <c r="F57" s="17" t="str">
        <f>IF(AND(NK&lt;&gt;0,VSK&lt;&gt;0),NK,"")</f>
        <v/>
      </c>
      <c r="G57" s="1" t="str">
        <f>IF(AND(NK&lt;&gt;0,VSK&lt;&gt;0,G17&lt;&gt;""),G17,"")</f>
        <v/>
      </c>
    </row>
    <row r="58" spans="1:9" x14ac:dyDescent="0.35">
      <c r="A58" s="830"/>
      <c r="C58" s="78"/>
      <c r="D58" s="78"/>
      <c r="E58" s="78"/>
      <c r="F58" s="78"/>
      <c r="G58" s="78"/>
      <c r="H58" s="78"/>
    </row>
    <row r="59" spans="1:9" ht="15" customHeight="1" x14ac:dyDescent="0.35">
      <c r="A59" s="830"/>
    </row>
    <row r="60" spans="1:9" ht="15.5" x14ac:dyDescent="0.35">
      <c r="A60" s="830"/>
      <c r="C60" s="16" t="s">
        <v>65</v>
      </c>
      <c r="D60" s="16"/>
      <c r="E60" s="16"/>
      <c r="F60" s="16"/>
      <c r="G60" s="842">
        <f>IF(VSK&gt;0,SUM(F46,F56,F57),0)</f>
        <v>0</v>
      </c>
      <c r="H60" s="842"/>
    </row>
    <row r="61" spans="1:9" ht="15.5" x14ac:dyDescent="0.35">
      <c r="A61" s="830"/>
      <c r="B61" s="16"/>
    </row>
    <row r="62" spans="1:9" x14ac:dyDescent="0.35">
      <c r="A62" s="830"/>
    </row>
    <row r="63" spans="1:9" x14ac:dyDescent="0.35">
      <c r="A63" s="830"/>
    </row>
    <row r="64" spans="1:9" x14ac:dyDescent="0.35">
      <c r="A64" s="830"/>
    </row>
    <row r="65" spans="1:1" x14ac:dyDescent="0.35">
      <c r="A65" s="830"/>
    </row>
    <row r="66" spans="1:1" x14ac:dyDescent="0.35">
      <c r="A66" s="830"/>
    </row>
    <row r="67" spans="1:1" x14ac:dyDescent="0.35">
      <c r="A67" s="830"/>
    </row>
    <row r="68" spans="1:1" x14ac:dyDescent="0.35">
      <c r="A68" s="830"/>
    </row>
    <row r="69" spans="1:1" x14ac:dyDescent="0.35">
      <c r="A69" s="830"/>
    </row>
  </sheetData>
  <mergeCells count="12">
    <mergeCell ref="A1:A20"/>
    <mergeCell ref="D2:H2"/>
    <mergeCell ref="G16:H16"/>
    <mergeCell ref="G17:H17"/>
    <mergeCell ref="G19:H19"/>
    <mergeCell ref="A21:A69"/>
    <mergeCell ref="B22:I22"/>
    <mergeCell ref="B23:I23"/>
    <mergeCell ref="B24:I24"/>
    <mergeCell ref="B25:I25"/>
    <mergeCell ref="B27:I27"/>
    <mergeCell ref="G60:H60"/>
  </mergeCells>
  <dataValidations count="4">
    <dataValidation type="decimal" allowBlank="1" showInputMessage="1" showErrorMessage="1" error="Zahl zwischen 0 und 2 eingeben" sqref="F6:F10" xr:uid="{00000000-0002-0000-0600-000000000000}">
      <formula1>0</formula1>
      <formula2>2</formula2>
    </dataValidation>
    <dataValidation type="whole" allowBlank="1" showInputMessage="1" showErrorMessage="1" error="Zahlenbereich: 1 bis 3 Azimute" sqref="D6:D10" xr:uid="{00000000-0002-0000-0600-000001000000}">
      <formula1>1</formula1>
      <formula2>3</formula2>
    </dataValidation>
    <dataValidation type="decimal" operator="greaterThan" showInputMessage="1" showErrorMessage="1" sqref="E16" xr:uid="{00000000-0002-0000-0600-000002000000}">
      <formula1>-1000</formula1>
    </dataValidation>
    <dataValidation type="decimal" operator="greaterThan" allowBlank="1" showInputMessage="1" showErrorMessage="1" sqref="E17" xr:uid="{00000000-0002-0000-0600-000003000000}">
      <formula1>-1000000</formula1>
    </dataValidation>
  </dataValidations>
  <pageMargins left="0.70866141732283472" right="0.39370078740157483" top="0.59055118110236227" bottom="0.59055118110236227" header="0.31496062992125984" footer="0.31496062992125984"/>
  <pageSetup paperSize="9" orientation="portrait" r:id="rId1"/>
  <headerFooter>
    <oddFooter>&amp;L&amp;9&amp;F, &amp;A&amp;R&amp;9&amp;D</oddFooter>
  </headerFooter>
  <legacyDrawing r:id="rId2"/>
  <legacyDrawingHF r:id="rId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9"/>
  <dimension ref="A1:P69"/>
  <sheetViews>
    <sheetView zoomScaleNormal="100" workbookViewId="0">
      <selection activeCell="C4" sqref="C4:D4"/>
    </sheetView>
  </sheetViews>
  <sheetFormatPr baseColWidth="10" defaultColWidth="11.453125" defaultRowHeight="14.5" x14ac:dyDescent="0.35"/>
  <cols>
    <col min="1" max="1" width="4" customWidth="1"/>
    <col min="2" max="2" width="6.7265625" customWidth="1"/>
    <col min="3" max="8" width="12.7265625" customWidth="1"/>
    <col min="9" max="9" width="5.54296875" customWidth="1"/>
  </cols>
  <sheetData>
    <row r="1" spans="1:16" ht="15.75" customHeight="1" x14ac:dyDescent="0.35">
      <c r="A1" s="833" t="s">
        <v>35</v>
      </c>
      <c r="B1" s="45"/>
      <c r="C1" s="45"/>
      <c r="D1" s="45"/>
      <c r="E1" s="45"/>
      <c r="F1" s="45"/>
      <c r="G1" s="45"/>
      <c r="H1" s="45"/>
      <c r="I1" s="45"/>
      <c r="K1" s="93" t="s">
        <v>699</v>
      </c>
      <c r="L1" s="93"/>
      <c r="M1" s="93"/>
      <c r="N1" s="94">
        <f ca="1">CELL("ZEILE",B27)</f>
        <v>27</v>
      </c>
    </row>
    <row r="2" spans="1:16" ht="23.5" x14ac:dyDescent="0.35">
      <c r="A2" s="833"/>
      <c r="B2" s="46"/>
      <c r="C2" s="47" t="s">
        <v>36</v>
      </c>
      <c r="D2" s="864" t="str">
        <f>CONCATENATE("Setzungsmessung - ",C4)</f>
        <v>Setzungsmessung - Nullmessung</v>
      </c>
      <c r="E2" s="865"/>
      <c r="F2" s="865"/>
      <c r="G2" s="865"/>
      <c r="H2" s="866"/>
      <c r="I2" s="45"/>
      <c r="K2" s="175" t="s">
        <v>700</v>
      </c>
      <c r="L2" s="155"/>
      <c r="M2" s="155"/>
      <c r="N2" s="175">
        <f ca="1">CELL("ZEILE",G60)</f>
        <v>60</v>
      </c>
      <c r="O2" s="254"/>
    </row>
    <row r="3" spans="1:16" ht="23.5" x14ac:dyDescent="0.35">
      <c r="A3" s="833"/>
      <c r="B3" s="46"/>
      <c r="C3" s="330"/>
      <c r="D3" s="346"/>
      <c r="E3" s="59"/>
      <c r="F3" s="59"/>
      <c r="G3" s="59"/>
      <c r="H3" s="60"/>
      <c r="I3" s="45"/>
      <c r="K3" s="175" t="s">
        <v>701</v>
      </c>
      <c r="L3" s="155"/>
      <c r="M3" s="155"/>
      <c r="N3" s="175">
        <f>F19</f>
        <v>0</v>
      </c>
      <c r="O3" s="254"/>
    </row>
    <row r="4" spans="1:16" ht="15.5" x14ac:dyDescent="0.35">
      <c r="A4" s="833"/>
      <c r="B4" s="344"/>
      <c r="C4" s="876" t="s">
        <v>539</v>
      </c>
      <c r="D4" s="877"/>
      <c r="E4" s="345"/>
      <c r="F4" s="330"/>
      <c r="G4" s="348" t="str">
        <f>IF(C4="Wiederholungsmessung","Anzahl der Wiederholungsmessungen:","")</f>
        <v/>
      </c>
      <c r="H4" s="498">
        <v>1</v>
      </c>
      <c r="I4" s="330"/>
      <c r="K4" s="254"/>
      <c r="L4" s="254"/>
      <c r="M4" s="254"/>
      <c r="N4" s="254"/>
      <c r="O4" s="254"/>
    </row>
    <row r="5" spans="1:16" ht="15.5" x14ac:dyDescent="0.35">
      <c r="A5" s="833"/>
      <c r="B5" s="46"/>
      <c r="C5" s="330"/>
      <c r="D5" s="330"/>
      <c r="E5" s="330"/>
      <c r="F5" s="330"/>
      <c r="G5" s="330"/>
      <c r="H5" s="330"/>
      <c r="I5" s="330"/>
      <c r="K5" s="254"/>
      <c r="L5" s="254"/>
      <c r="M5" s="254"/>
      <c r="N5" s="254"/>
      <c r="O5" s="254"/>
    </row>
    <row r="6" spans="1:16" ht="15.5" x14ac:dyDescent="0.35">
      <c r="A6" s="833"/>
      <c r="B6" s="46"/>
      <c r="C6" s="330" t="s">
        <v>258</v>
      </c>
      <c r="D6" s="499"/>
      <c r="E6" s="342" t="s">
        <v>334</v>
      </c>
      <c r="F6" s="317"/>
      <c r="G6" s="330"/>
      <c r="H6" s="317"/>
      <c r="I6" s="317"/>
      <c r="K6" s="254"/>
      <c r="L6" s="254"/>
      <c r="M6" s="254"/>
      <c r="N6" s="254"/>
      <c r="O6" s="254"/>
    </row>
    <row r="7" spans="1:16" ht="15.5" x14ac:dyDescent="0.35">
      <c r="A7" s="833"/>
      <c r="B7" s="46"/>
      <c r="C7" s="330"/>
      <c r="D7" s="317"/>
      <c r="E7" s="338"/>
      <c r="F7" s="317"/>
      <c r="G7" s="330"/>
      <c r="H7" s="317"/>
      <c r="I7" s="317"/>
      <c r="K7" s="254"/>
      <c r="L7" s="254"/>
      <c r="M7" s="254"/>
      <c r="N7" s="254"/>
      <c r="O7" s="254"/>
    </row>
    <row r="8" spans="1:16" ht="15.5" x14ac:dyDescent="0.35">
      <c r="A8" s="833"/>
      <c r="B8" s="46"/>
      <c r="C8" s="330" t="s">
        <v>333</v>
      </c>
      <c r="D8" s="341"/>
      <c r="E8" s="338" t="s">
        <v>332</v>
      </c>
      <c r="F8" s="317"/>
      <c r="G8" s="330"/>
      <c r="H8" s="317"/>
      <c r="I8" s="317"/>
      <c r="K8" s="254"/>
      <c r="L8" s="254"/>
      <c r="M8" s="254"/>
      <c r="N8" s="254"/>
      <c r="O8" s="254"/>
    </row>
    <row r="9" spans="1:16" ht="15.5" x14ac:dyDescent="0.35">
      <c r="A9" s="833"/>
      <c r="B9" s="46"/>
      <c r="C9" s="330"/>
      <c r="D9" s="317"/>
      <c r="E9" s="338"/>
      <c r="F9" s="317"/>
      <c r="G9" s="330"/>
      <c r="H9" s="317"/>
      <c r="I9" s="317"/>
      <c r="K9" s="254"/>
      <c r="L9" s="254"/>
      <c r="M9" s="254"/>
      <c r="N9" s="254"/>
      <c r="O9" s="254"/>
    </row>
    <row r="10" spans="1:16" ht="15.5" x14ac:dyDescent="0.35">
      <c r="A10" s="833"/>
      <c r="B10" s="46"/>
      <c r="C10" s="330" t="s">
        <v>252</v>
      </c>
      <c r="D10" s="347">
        <f>VLOOKUP(E10,Konstante!Y40:Z48,2,FALSE)</f>
        <v>1</v>
      </c>
      <c r="E10" s="122" t="s">
        <v>17</v>
      </c>
      <c r="F10" s="338" t="s">
        <v>331</v>
      </c>
      <c r="G10" s="330"/>
      <c r="H10" s="317"/>
      <c r="I10" s="317"/>
      <c r="K10" s="254"/>
      <c r="M10" s="57"/>
    </row>
    <row r="11" spans="1:16" ht="15.5" x14ac:dyDescent="0.35">
      <c r="A11" s="833"/>
      <c r="B11" s="46"/>
      <c r="C11" s="330"/>
      <c r="D11" s="317"/>
      <c r="E11" s="317"/>
      <c r="F11" s="317"/>
      <c r="G11" s="317"/>
      <c r="H11" s="317"/>
      <c r="I11" s="317"/>
      <c r="K11" s="254"/>
      <c r="L11" s="254"/>
      <c r="N11" s="254"/>
      <c r="O11" s="254"/>
    </row>
    <row r="12" spans="1:16" ht="15.5" x14ac:dyDescent="0.35">
      <c r="A12" s="833"/>
      <c r="B12" s="46"/>
      <c r="C12" s="330" t="s">
        <v>190</v>
      </c>
      <c r="D12" s="495">
        <f>VLOOKUP(E12,Konstante!AC40:AD43,2,FALSE)</f>
        <v>0.64090000000000003</v>
      </c>
      <c r="E12" s="122" t="s">
        <v>551</v>
      </c>
      <c r="F12" s="338" t="s">
        <v>329</v>
      </c>
      <c r="G12" s="330"/>
      <c r="H12" s="317"/>
      <c r="I12" s="317"/>
    </row>
    <row r="13" spans="1:16" ht="15.5" x14ac:dyDescent="0.35">
      <c r="A13" s="833"/>
      <c r="B13" s="45"/>
      <c r="C13" s="317"/>
      <c r="D13" s="317"/>
      <c r="E13" s="317"/>
      <c r="F13" s="317"/>
      <c r="G13" s="317"/>
      <c r="H13" s="317"/>
      <c r="I13" s="46"/>
      <c r="K13" s="254"/>
      <c r="L13" s="254"/>
      <c r="M13" s="332"/>
      <c r="N13" s="254"/>
      <c r="O13" s="254"/>
      <c r="P13" s="254"/>
    </row>
    <row r="14" spans="1:16" ht="15.5" x14ac:dyDescent="0.35">
      <c r="A14" s="833"/>
      <c r="B14" s="46"/>
      <c r="C14" s="317"/>
      <c r="D14" s="317"/>
      <c r="E14" s="317"/>
      <c r="F14" s="317"/>
      <c r="G14" s="317"/>
      <c r="H14" s="317"/>
      <c r="I14" s="47"/>
      <c r="K14" s="254"/>
      <c r="L14" s="254"/>
      <c r="M14" s="332"/>
      <c r="N14" s="254"/>
      <c r="O14" s="254"/>
      <c r="P14" s="254"/>
    </row>
    <row r="15" spans="1:16" ht="15.5" x14ac:dyDescent="0.35">
      <c r="A15" s="833"/>
      <c r="B15" s="46"/>
      <c r="C15" s="317"/>
      <c r="D15" s="318"/>
      <c r="E15" s="317"/>
      <c r="F15" s="319"/>
      <c r="G15" s="592" t="s">
        <v>633</v>
      </c>
      <c r="H15" s="319"/>
      <c r="I15" s="47"/>
      <c r="K15" s="254"/>
      <c r="L15" s="254"/>
      <c r="M15" s="332"/>
      <c r="N15" s="254"/>
      <c r="O15" s="254"/>
      <c r="P15" s="254"/>
    </row>
    <row r="16" spans="1:16" ht="15.5" x14ac:dyDescent="0.35">
      <c r="A16" s="833"/>
      <c r="B16" s="46"/>
      <c r="C16" s="47" t="s">
        <v>34</v>
      </c>
      <c r="D16" s="47"/>
      <c r="E16" s="320"/>
      <c r="F16" s="47"/>
      <c r="G16" s="868"/>
      <c r="H16" s="869"/>
      <c r="I16" s="47"/>
      <c r="K16" s="254"/>
      <c r="L16" s="254"/>
      <c r="M16" s="254"/>
      <c r="N16" s="254"/>
      <c r="O16" s="254"/>
      <c r="P16" s="254"/>
    </row>
    <row r="17" spans="1:16" ht="15.5" x14ac:dyDescent="0.35">
      <c r="A17" s="833"/>
      <c r="B17" s="46"/>
      <c r="C17" s="47" t="s">
        <v>1</v>
      </c>
      <c r="D17" s="47"/>
      <c r="E17" s="321"/>
      <c r="F17" s="47"/>
      <c r="G17" s="867"/>
      <c r="H17" s="867"/>
      <c r="I17" s="47"/>
    </row>
    <row r="18" spans="1:16" ht="15.5" x14ac:dyDescent="0.35">
      <c r="A18" s="833"/>
      <c r="B18" s="46"/>
      <c r="C18" s="47"/>
      <c r="D18" s="47"/>
      <c r="E18" s="53"/>
      <c r="F18" s="47"/>
      <c r="G18" s="46"/>
      <c r="H18" s="46"/>
      <c r="I18" s="45"/>
    </row>
    <row r="19" spans="1:16" ht="21" x14ac:dyDescent="0.5">
      <c r="A19" s="833"/>
      <c r="B19" s="45"/>
      <c r="C19" s="54" t="str">
        <f>IF(VSK=0, "UNVOLLSTÄNDIG AUSGEFÜLLT!","")</f>
        <v>UNVOLLSTÄNDIG AUSGEFÜLLT!</v>
      </c>
      <c r="D19" s="45"/>
      <c r="E19" s="45"/>
      <c r="F19" s="451">
        <f>IF(AND(ISNUMBER(S_),ISNUMBER(P)),1,0)</f>
        <v>0</v>
      </c>
      <c r="G19" s="852" t="str">
        <f>IF(VSK&lt;&gt;0, G60,"")</f>
        <v/>
      </c>
      <c r="H19" s="852"/>
      <c r="I19" s="45"/>
      <c r="P19" s="254"/>
    </row>
    <row r="20" spans="1:16" ht="15.5" x14ac:dyDescent="0.35">
      <c r="A20" s="833"/>
      <c r="B20" s="45"/>
      <c r="C20" s="45"/>
      <c r="D20" s="45"/>
      <c r="E20" s="45"/>
      <c r="F20" s="45"/>
      <c r="G20" s="45"/>
      <c r="H20" s="45"/>
      <c r="I20" s="45"/>
    </row>
    <row r="21" spans="1:16" ht="15" customHeight="1" x14ac:dyDescent="0.35">
      <c r="A21" s="830" t="s">
        <v>66</v>
      </c>
      <c r="I21" s="577" t="str">
        <f ca="1">IF(VLOOKUP(B27,CHOOSE({5,4,3,2,1},Gesamt!L32:L65,Gesamt!M32:M65,Gesamt!N32:N65,Gesamt!O32:O65,Gesamt!P32:P65,),4,0)&gt;0,CONCATENATE("Pos. ",VLOOKUP(B27,CHOOSE({5,4,3,2,1},Gesamt!L32:L65,Gesamt!M32:M65,Gesamt!N32:N65,Gesamt!O32:O65,Gesamt!P32:P65,),VLOOKUP(Gesamt!C19,Gesamt!L5:N7,3,0),0)),"")</f>
        <v/>
      </c>
    </row>
    <row r="22" spans="1:16" x14ac:dyDescent="0.35">
      <c r="A22" s="830"/>
      <c r="B22" s="831" t="str">
        <f>CONCATENATE(Gesamt!C2, ": ", Gesamt!E2)</f>
        <v xml:space="preserve">Projekt: </v>
      </c>
      <c r="C22" s="831"/>
      <c r="D22" s="831"/>
      <c r="E22" s="831"/>
      <c r="F22" s="831"/>
      <c r="G22" s="831"/>
      <c r="H22" s="831"/>
      <c r="I22" s="831"/>
    </row>
    <row r="23" spans="1:16" x14ac:dyDescent="0.35">
      <c r="A23" s="830"/>
      <c r="B23" s="832" t="str">
        <f>CONCATENATE(Gesamt!C4, ": ", Gesamt!E4, IF(Gesamt!E5&lt;&gt;""," - ",""), IF(Gesamt!E5&lt;&gt;"",Gesamt!E5,""), IF(Gesamt!E6&lt;&gt;""," - GZ. ",""), IF(Gesamt!E6&lt;&gt;"",Gesamt!E6,""),)</f>
        <v xml:space="preserve">Auftraggeber: </v>
      </c>
      <c r="C23" s="832"/>
      <c r="D23" s="832"/>
      <c r="E23" s="832"/>
      <c r="F23" s="832"/>
      <c r="G23" s="832"/>
      <c r="H23" s="832"/>
      <c r="I23" s="832"/>
    </row>
    <row r="24" spans="1:16" x14ac:dyDescent="0.35">
      <c r="A24" s="830"/>
      <c r="B24" s="832" t="str">
        <f>CONCATENATE(Gesamt!C9, ": ",Gesamt!E9,  IF(Gesamt!C10&lt;&gt;""," - ",""), IF(Gesamt!C10&lt;&gt;"",Gesamt!E10,""), IF(Gesamt!C11&lt;&gt;""," - GZ. ",""), IF(Gesamt!C11&lt;&gt;"",Gesamt!E11,""), )</f>
        <v xml:space="preserve">Bieter:  -  - GZ. </v>
      </c>
      <c r="C24" s="832"/>
      <c r="D24" s="832"/>
      <c r="E24" s="832"/>
      <c r="F24" s="832"/>
      <c r="G24" s="832"/>
      <c r="H24" s="832"/>
      <c r="I24" s="832"/>
    </row>
    <row r="25" spans="1:16" x14ac:dyDescent="0.35">
      <c r="A25" s="830"/>
      <c r="B25" s="832" t="s">
        <v>41</v>
      </c>
      <c r="C25" s="832"/>
      <c r="D25" s="832"/>
      <c r="E25" s="832"/>
      <c r="F25" s="832"/>
      <c r="G25" s="832"/>
      <c r="H25" s="832"/>
      <c r="I25" s="832"/>
    </row>
    <row r="26" spans="1:16" x14ac:dyDescent="0.35">
      <c r="A26" s="830"/>
    </row>
    <row r="27" spans="1:16" ht="18.5" x14ac:dyDescent="0.35">
      <c r="A27" s="830"/>
      <c r="B27" s="843" t="str">
        <f>D2</f>
        <v>Setzungsmessung - Nullmessung</v>
      </c>
      <c r="C27" s="843"/>
      <c r="D27" s="843"/>
      <c r="E27" s="843"/>
      <c r="F27" s="843"/>
      <c r="G27" s="843"/>
      <c r="H27" s="843"/>
      <c r="I27" s="843"/>
    </row>
    <row r="28" spans="1:16" x14ac:dyDescent="0.35">
      <c r="A28" s="830"/>
    </row>
    <row r="29" spans="1:16" x14ac:dyDescent="0.35">
      <c r="A29" s="830"/>
      <c r="C29" t="s">
        <v>687</v>
      </c>
    </row>
    <row r="30" spans="1:16" x14ac:dyDescent="0.35">
      <c r="A30" s="830"/>
    </row>
    <row r="31" spans="1:16" x14ac:dyDescent="0.35">
      <c r="A31" s="830"/>
      <c r="C31" t="s">
        <v>959</v>
      </c>
      <c r="E31" s="118">
        <f>IS</f>
        <v>0</v>
      </c>
    </row>
    <row r="32" spans="1:16" x14ac:dyDescent="0.35">
      <c r="A32" s="830"/>
      <c r="C32" s="15"/>
    </row>
    <row r="33" spans="1:8" x14ac:dyDescent="0.35">
      <c r="A33" s="830"/>
      <c r="C33" s="30" t="str">
        <f xml:space="preserve"> VLOOKUP(C4,Konstante!Y36:AC37,5,FALSE)</f>
        <v>H = (3/(S^0,5) + (5,95 * S + 0,46 * P) * G * E) * IS + N</v>
      </c>
      <c r="E33" s="30"/>
    </row>
    <row r="34" spans="1:8" x14ac:dyDescent="0.35">
      <c r="A34" s="830"/>
      <c r="E34" s="30"/>
    </row>
    <row r="35" spans="1:8" x14ac:dyDescent="0.35">
      <c r="A35" s="830"/>
    </row>
    <row r="36" spans="1:8" x14ac:dyDescent="0.35">
      <c r="A36" s="830"/>
      <c r="C36" t="str">
        <f>C4</f>
        <v>Nullmessung</v>
      </c>
    </row>
    <row r="37" spans="1:8" x14ac:dyDescent="0.35">
      <c r="A37" s="830"/>
      <c r="C37" s="234"/>
      <c r="D37" s="201"/>
      <c r="E37" s="201"/>
      <c r="F37" s="409"/>
      <c r="G37" s="234"/>
      <c r="H37" s="234"/>
    </row>
    <row r="38" spans="1:8" x14ac:dyDescent="0.35">
      <c r="A38" s="830"/>
      <c r="C38" s="569" t="s">
        <v>289</v>
      </c>
      <c r="D38" s="575">
        <f>S_</f>
        <v>0</v>
      </c>
      <c r="E38" s="571" t="s">
        <v>328</v>
      </c>
    </row>
    <row r="39" spans="1:8" x14ac:dyDescent="0.35">
      <c r="A39" s="830"/>
      <c r="C39" s="237" t="s">
        <v>327</v>
      </c>
      <c r="D39" s="570">
        <f>P</f>
        <v>0</v>
      </c>
      <c r="E39" s="571" t="s">
        <v>326</v>
      </c>
    </row>
    <row r="40" spans="1:8" x14ac:dyDescent="0.35">
      <c r="A40" s="830"/>
      <c r="C40" s="237" t="s">
        <v>1132</v>
      </c>
      <c r="D40" s="570">
        <f>E</f>
        <v>1</v>
      </c>
      <c r="E40" s="571" t="str">
        <f>CONCATENATE("Geländeklasse und Schwierigkeitsstufe: ",E10)</f>
        <v>Geländeklasse und Schwierigkeitsstufe: Ia</v>
      </c>
    </row>
    <row r="41" spans="1:8" x14ac:dyDescent="0.35">
      <c r="A41" s="830"/>
      <c r="C41" s="237" t="s">
        <v>262</v>
      </c>
      <c r="D41" s="570">
        <f>G</f>
        <v>0.64090000000000003</v>
      </c>
      <c r="E41" s="571" t="str">
        <f>CONCATENATE("Standardabweichung Höhe: ", E12)</f>
        <v>Standardabweichung Höhe: 5mm</v>
      </c>
    </row>
    <row r="42" spans="1:8" x14ac:dyDescent="0.35">
      <c r="A42" s="830"/>
      <c r="C42" s="570" t="str">
        <f>IF(AND($M$6&gt;0,M9&gt;0),"4","")</f>
        <v/>
      </c>
      <c r="D42" s="570" t="str">
        <f t="shared" ref="D42" si="0">IF(AND($M$6&gt;0,M9&gt;0),D9,"")</f>
        <v/>
      </c>
      <c r="E42" t="str">
        <f>IF(AND($M$6&gt;0,M9&gt;0),F9,"")</f>
        <v/>
      </c>
    </row>
    <row r="43" spans="1:8" x14ac:dyDescent="0.35">
      <c r="A43" s="830"/>
      <c r="C43" s="3" t="s">
        <v>60</v>
      </c>
      <c r="D43" s="3"/>
      <c r="E43" s="3"/>
      <c r="F43" s="22">
        <f>IF(VSK&lt;&gt;0,((3/(S_^0.5) + (VLOOKUP(C4,Konstante!Y36:AB37,3,FALSE) * S_ + VLOOKUP(C4,Konstante!Y36:AB37,4,FALSE) * P) * G * E)) * IS,0)</f>
        <v>0</v>
      </c>
    </row>
    <row r="44" spans="1:8" x14ac:dyDescent="0.35">
      <c r="A44" s="830"/>
    </row>
    <row r="45" spans="1:8" x14ac:dyDescent="0.35">
      <c r="A45" s="830"/>
      <c r="C45" t="str">
        <f>IF(AND(VSK&gt;0,C4=Konstante!Y37,H4&gt;1),CONCATENATE("insgesamt ", H4, " Folgemessungen: "),"")</f>
        <v/>
      </c>
      <c r="F45" s="17" t="str">
        <f>IF(AND(VSK&gt;0,C4=Konstante!Y37,H4&gt;1),H4*F43,"")</f>
        <v/>
      </c>
      <c r="G45" s="1"/>
    </row>
    <row r="46" spans="1:8" x14ac:dyDescent="0.35">
      <c r="A46" s="830"/>
    </row>
    <row r="47" spans="1:8" x14ac:dyDescent="0.35">
      <c r="A47" s="830"/>
      <c r="F47" s="28"/>
      <c r="G47" s="1"/>
    </row>
    <row r="48" spans="1:8" x14ac:dyDescent="0.35">
      <c r="A48" s="830"/>
      <c r="B48" s="3"/>
    </row>
    <row r="49" spans="1:9" x14ac:dyDescent="0.35">
      <c r="A49" s="830"/>
    </row>
    <row r="50" spans="1:9" x14ac:dyDescent="0.35">
      <c r="A50" s="830"/>
    </row>
    <row r="51" spans="1:9" x14ac:dyDescent="0.35">
      <c r="A51" s="830"/>
    </row>
    <row r="52" spans="1:9" x14ac:dyDescent="0.35">
      <c r="A52" s="830"/>
    </row>
    <row r="53" spans="1:9" x14ac:dyDescent="0.35">
      <c r="A53" s="830"/>
    </row>
    <row r="54" spans="1:9" x14ac:dyDescent="0.35">
      <c r="A54" s="830"/>
    </row>
    <row r="55" spans="1:9" x14ac:dyDescent="0.35">
      <c r="A55" s="830"/>
    </row>
    <row r="56" spans="1:9" x14ac:dyDescent="0.35">
      <c r="A56" s="830"/>
      <c r="B56" s="3"/>
      <c r="C56" t="str">
        <f>IF(AND(ZuAbschlag&lt;&gt;0,VSK&lt;&gt;0),"Zu-/Abschlag:","")</f>
        <v/>
      </c>
      <c r="E56" s="15" t="str">
        <f>IF(AND(ZuAbschlag&lt;&gt;0,VSK&lt;&gt;0),ZuAbschlag,"")</f>
        <v/>
      </c>
      <c r="F56" s="17" t="str">
        <f>IF(AND(ZuAbschlag&lt;&gt;0,VSK&lt;&gt;0),IF(AND(H4&gt;1,C4="Wiederholungsmessung"),E56*F45,E56*F43),"")</f>
        <v/>
      </c>
      <c r="G56" s="1" t="str">
        <f>IF(AND(ZuAbschlag&lt;&gt;0,VSK&lt;&gt;0,G16&lt;&gt;""),G16,"")</f>
        <v/>
      </c>
    </row>
    <row r="57" spans="1:9" ht="15.5" x14ac:dyDescent="0.35">
      <c r="A57" s="830"/>
      <c r="C57" t="str">
        <f>IF(AND(NK&lt;&gt;0,VSK&lt;&gt;0),"Nebenkosten:","")</f>
        <v/>
      </c>
      <c r="F57" s="17" t="str">
        <f>IF(AND(NK&lt;&gt;0,VSK&lt;&gt;0),NK,"")</f>
        <v/>
      </c>
      <c r="G57" s="1" t="str">
        <f>IF(AND(NK&lt;&gt;0,VSK&lt;&gt;0,G17&lt;&gt;""),G17,"")</f>
        <v/>
      </c>
      <c r="I57" s="16"/>
    </row>
    <row r="58" spans="1:9" x14ac:dyDescent="0.35">
      <c r="A58" s="830"/>
      <c r="C58" s="78"/>
      <c r="D58" s="78"/>
      <c r="E58" s="78"/>
      <c r="F58" s="78"/>
      <c r="G58" s="78"/>
      <c r="H58" s="78"/>
    </row>
    <row r="59" spans="1:9" x14ac:dyDescent="0.35">
      <c r="A59" s="830"/>
    </row>
    <row r="60" spans="1:9" ht="15.5" x14ac:dyDescent="0.35">
      <c r="A60" s="830"/>
      <c r="C60" s="16" t="s">
        <v>65</v>
      </c>
      <c r="D60" s="16"/>
      <c r="E60" s="16"/>
      <c r="F60" s="16"/>
      <c r="G60" s="842">
        <f>IF(VSK&gt;0,IF(AND(H4&gt;1,C4="Wiederholungsmessung"),SUM(F45,F56,F57),SUM(F43,F56,F57)),0)</f>
        <v>0</v>
      </c>
      <c r="H60" s="842"/>
    </row>
    <row r="61" spans="1:9" ht="15.5" x14ac:dyDescent="0.35">
      <c r="A61" s="830"/>
      <c r="B61" s="16"/>
    </row>
    <row r="62" spans="1:9" x14ac:dyDescent="0.35">
      <c r="A62" s="830"/>
    </row>
    <row r="63" spans="1:9" x14ac:dyDescent="0.35">
      <c r="A63" s="830"/>
    </row>
    <row r="64" spans="1:9" x14ac:dyDescent="0.35">
      <c r="A64" s="830"/>
    </row>
    <row r="65" spans="1:1" x14ac:dyDescent="0.35">
      <c r="A65" s="830"/>
    </row>
    <row r="66" spans="1:1" x14ac:dyDescent="0.35">
      <c r="A66" s="830"/>
    </row>
    <row r="67" spans="1:1" x14ac:dyDescent="0.35">
      <c r="A67" s="830"/>
    </row>
    <row r="68" spans="1:1" x14ac:dyDescent="0.35">
      <c r="A68" s="830"/>
    </row>
    <row r="69" spans="1:1" x14ac:dyDescent="0.35">
      <c r="A69" s="830"/>
    </row>
  </sheetData>
  <sheetProtection selectLockedCells="1"/>
  <mergeCells count="13">
    <mergeCell ref="B24:I24"/>
    <mergeCell ref="B25:I25"/>
    <mergeCell ref="B27:I27"/>
    <mergeCell ref="C4:D4"/>
    <mergeCell ref="A21:A69"/>
    <mergeCell ref="B22:I22"/>
    <mergeCell ref="B23:I23"/>
    <mergeCell ref="A1:A20"/>
    <mergeCell ref="D2:H2"/>
    <mergeCell ref="G16:H16"/>
    <mergeCell ref="G17:H17"/>
    <mergeCell ref="G19:H19"/>
    <mergeCell ref="G60:H60"/>
  </mergeCells>
  <dataValidations count="7">
    <dataValidation type="whole" operator="greaterThan" allowBlank="1" showInputMessage="1" showErrorMessage="1" error="Zahl größer Null eingeben!" sqref="H4" xr:uid="{00000000-0002-0000-0700-000000000000}">
      <formula1>0</formula1>
    </dataValidation>
    <dataValidation type="whole" operator="greaterThan" allowBlank="1" showInputMessage="1" showErrorMessage="1" error="Wertebereich: 1 und größer" sqref="D7:D8" xr:uid="{00000000-0002-0000-0700-000001000000}">
      <formula1>0</formula1>
    </dataValidation>
    <dataValidation type="whole" operator="greaterThan" allowBlank="1" showInputMessage="1" showErrorMessage="1" error="Wertebereich: 1 und größer" sqref="D9" xr:uid="{00000000-0002-0000-0700-000002000000}">
      <formula1>-1</formula1>
    </dataValidation>
    <dataValidation type="decimal" allowBlank="1" showInputMessage="1" showErrorMessage="1" error="Zahl zwischen 0 und 2 eingeben" sqref="F6:F9" xr:uid="{00000000-0002-0000-0700-000003000000}">
      <formula1>0</formula1>
      <formula2>2</formula2>
    </dataValidation>
    <dataValidation type="decimal" operator="greaterThan" allowBlank="1" showInputMessage="1" showErrorMessage="1" error="Ganze Zahl größer 0 und kleiner 100 eingeben" sqref="D6" xr:uid="{00000000-0002-0000-0700-000004000000}">
      <formula1>0</formula1>
    </dataValidation>
    <dataValidation type="decimal" operator="greaterThan" showInputMessage="1" showErrorMessage="1" sqref="E16" xr:uid="{00000000-0002-0000-0700-000005000000}">
      <formula1>-1000</formula1>
    </dataValidation>
    <dataValidation type="decimal" operator="greaterThan" allowBlank="1" showInputMessage="1" showErrorMessage="1" sqref="E17" xr:uid="{00000000-0002-0000-0700-000006000000}">
      <formula1>-1000000</formula1>
    </dataValidation>
  </dataValidations>
  <pageMargins left="0.70866141732283472" right="0.39370078740157483" top="0.59055118110236227" bottom="0.59055118110236227" header="0.31496062992125984" footer="0.31496062992125984"/>
  <pageSetup paperSize="9" orientation="portrait" r:id="rId1"/>
  <headerFooter>
    <oddFooter>&amp;L&amp;9&amp;F, &amp;A&amp;R&amp;9&amp;D</oddFooter>
  </headerFooter>
  <legacyDrawing r:id="rId2"/>
  <legacyDrawingHF r:id="rId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3295C84C-1877-4917-B6D1-813003A25AE1}">
            <xm:f>$C$4=Konstante!$Y$37</xm:f>
            <x14:dxf>
              <font>
                <color theme="1"/>
              </font>
              <fill>
                <patternFill>
                  <bgColor theme="0"/>
                </patternFill>
              </fill>
            </x14:dxf>
          </x14:cfRule>
          <xm:sqref>H4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3">
        <x14:dataValidation type="list" showInputMessage="1" showErrorMessage="1" xr:uid="{00000000-0002-0000-0700-000007000000}">
          <x14:formula1>
            <xm:f>Konstante!$Y$40:$Y$48</xm:f>
          </x14:formula1>
          <xm:sqref>E10</xm:sqref>
        </x14:dataValidation>
        <x14:dataValidation type="list" allowBlank="1" showInputMessage="1" showErrorMessage="1" xr:uid="{00000000-0002-0000-0700-000008000000}">
          <x14:formula1>
            <xm:f>Konstante!$Y$36:$Y$37</xm:f>
          </x14:formula1>
          <xm:sqref>C4:D4</xm:sqref>
        </x14:dataValidation>
        <x14:dataValidation type="list" showInputMessage="1" showErrorMessage="1" xr:uid="{00000000-0002-0000-0700-000009000000}">
          <x14:formula1>
            <xm:f>Konstante!$AC$40:$AC$43</xm:f>
          </x14:formula1>
          <xm:sqref>E12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10"/>
  <dimension ref="A1:Z69"/>
  <sheetViews>
    <sheetView workbookViewId="0">
      <selection activeCell="D4" sqref="D4"/>
    </sheetView>
  </sheetViews>
  <sheetFormatPr baseColWidth="10" defaultColWidth="11.453125" defaultRowHeight="14.5" x14ac:dyDescent="0.35"/>
  <cols>
    <col min="1" max="1" width="4" customWidth="1"/>
    <col min="2" max="2" width="6.7265625" customWidth="1"/>
    <col min="3" max="8" width="12.7265625" customWidth="1"/>
    <col min="9" max="9" width="5.7265625" customWidth="1"/>
    <col min="10" max="19" width="11.453125" customWidth="1"/>
    <col min="20" max="20" width="11.453125" style="122"/>
    <col min="22" max="23" width="11.453125" style="785"/>
    <col min="25" max="26" width="11.453125" style="141"/>
  </cols>
  <sheetData>
    <row r="1" spans="1:26" ht="15.75" customHeight="1" x14ac:dyDescent="0.35">
      <c r="A1" s="833" t="s">
        <v>35</v>
      </c>
      <c r="B1" s="45"/>
      <c r="C1" s="45"/>
      <c r="D1" s="45"/>
      <c r="E1" s="45"/>
      <c r="F1" s="45"/>
      <c r="G1" s="45"/>
      <c r="H1" s="45"/>
      <c r="I1" s="45"/>
      <c r="K1" s="93" t="s">
        <v>699</v>
      </c>
      <c r="L1" s="93"/>
      <c r="M1" s="93"/>
      <c r="N1" s="94">
        <f ca="1">CELL("ZEILE",B27)</f>
        <v>27</v>
      </c>
    </row>
    <row r="2" spans="1:26" ht="23.5" x14ac:dyDescent="0.35">
      <c r="A2" s="833"/>
      <c r="B2" s="46"/>
      <c r="C2" s="47" t="s">
        <v>36</v>
      </c>
      <c r="D2" s="864" t="s">
        <v>865</v>
      </c>
      <c r="E2" s="865"/>
      <c r="F2" s="865"/>
      <c r="G2" s="865"/>
      <c r="H2" s="866"/>
      <c r="I2" s="45"/>
      <c r="K2" s="175" t="s">
        <v>700</v>
      </c>
      <c r="L2" s="155"/>
      <c r="M2" s="155"/>
      <c r="N2" s="175">
        <f ca="1">CELL("ZEILE",G60)</f>
        <v>60</v>
      </c>
    </row>
    <row r="3" spans="1:26" ht="23.5" x14ac:dyDescent="0.35">
      <c r="A3" s="833"/>
      <c r="B3" s="46"/>
      <c r="C3" s="47"/>
      <c r="D3" s="58"/>
      <c r="E3" s="59"/>
      <c r="F3" s="59"/>
      <c r="G3" s="59"/>
      <c r="H3" s="60"/>
      <c r="I3" s="45"/>
      <c r="K3" s="175" t="s">
        <v>701</v>
      </c>
      <c r="L3" s="155"/>
      <c r="M3" s="155"/>
      <c r="N3" s="175">
        <f>F19</f>
        <v>0</v>
      </c>
      <c r="T3" s="141"/>
      <c r="U3" s="141"/>
    </row>
    <row r="4" spans="1:26" ht="15.75" customHeight="1" x14ac:dyDescent="0.35">
      <c r="A4" s="833"/>
      <c r="B4" s="266" t="str">
        <f>IF(AND(n&gt;=Ndp+Nds,n&lt;&gt;""),"?","")</f>
        <v/>
      </c>
      <c r="C4" s="330" t="s">
        <v>343</v>
      </c>
      <c r="D4" s="786"/>
      <c r="E4" s="338" t="s">
        <v>598</v>
      </c>
      <c r="F4" s="330"/>
      <c r="G4" s="428" t="str">
        <f>IF(AND(n&gt;=Ndp+Nds,n&lt;&gt;""),"Achtung: n muss kleiner Ndp+Nds sein!","")</f>
        <v/>
      </c>
      <c r="H4" s="330"/>
      <c r="I4" s="330"/>
      <c r="T4" s="784"/>
      <c r="U4" s="784"/>
      <c r="V4" s="783"/>
      <c r="W4" s="783"/>
      <c r="Z4" s="782"/>
    </row>
    <row r="5" spans="1:26" ht="15.5" x14ac:dyDescent="0.35">
      <c r="A5" s="833"/>
      <c r="B5" s="46"/>
      <c r="C5" s="330" t="s">
        <v>378</v>
      </c>
      <c r="D5" s="786"/>
      <c r="E5" s="338" t="s">
        <v>377</v>
      </c>
      <c r="F5" s="330"/>
      <c r="G5" s="330"/>
      <c r="H5" s="330"/>
      <c r="I5" s="330"/>
      <c r="T5" s="784"/>
      <c r="U5" s="784"/>
      <c r="V5" s="783"/>
      <c r="W5" s="783"/>
      <c r="Z5" s="782"/>
    </row>
    <row r="6" spans="1:26" ht="15.5" x14ac:dyDescent="0.35">
      <c r="A6" s="833"/>
      <c r="B6" s="46"/>
      <c r="C6" s="330" t="s">
        <v>376</v>
      </c>
      <c r="D6" s="786"/>
      <c r="E6" s="338" t="s">
        <v>375</v>
      </c>
      <c r="F6" s="330"/>
      <c r="G6" s="330"/>
      <c r="H6" s="330"/>
      <c r="I6" s="330"/>
      <c r="T6" s="141"/>
      <c r="U6" s="141"/>
    </row>
    <row r="7" spans="1:26" ht="15.5" x14ac:dyDescent="0.35">
      <c r="A7" s="833"/>
      <c r="B7" s="266" t="str">
        <f>IF(AND(Nd&gt;Ndp+Nds,Nd&lt;&gt;""),"?","")</f>
        <v/>
      </c>
      <c r="C7" s="330" t="s">
        <v>374</v>
      </c>
      <c r="D7" s="786"/>
      <c r="E7" s="338" t="s">
        <v>373</v>
      </c>
      <c r="F7" s="330"/>
      <c r="G7" s="330"/>
      <c r="H7" s="330"/>
      <c r="I7" s="330"/>
      <c r="K7" s="878" t="s">
        <v>597</v>
      </c>
      <c r="L7" s="879"/>
      <c r="M7" s="879"/>
      <c r="N7" s="879"/>
      <c r="O7" s="879"/>
      <c r="P7" s="879"/>
      <c r="Q7" s="880"/>
      <c r="T7" s="141"/>
      <c r="U7" s="141"/>
    </row>
    <row r="8" spans="1:26" ht="15.5" x14ac:dyDescent="0.35">
      <c r="A8" s="833"/>
      <c r="B8" s="266" t="str">
        <f>IF(AND(Ndh&gt;Ndp+Nds,Ndh&lt;&gt;""),"?","")</f>
        <v/>
      </c>
      <c r="C8" s="330" t="s">
        <v>372</v>
      </c>
      <c r="D8" s="786"/>
      <c r="E8" s="338" t="s">
        <v>371</v>
      </c>
      <c r="F8" s="330"/>
      <c r="G8" s="330"/>
      <c r="H8" s="330"/>
      <c r="I8" s="330"/>
      <c r="K8" s="881"/>
      <c r="L8" s="882"/>
      <c r="M8" s="882"/>
      <c r="N8" s="882"/>
      <c r="O8" s="882"/>
      <c r="P8" s="882"/>
      <c r="Q8" s="883"/>
      <c r="T8" s="141"/>
      <c r="U8" s="141"/>
    </row>
    <row r="9" spans="1:26" ht="15.5" x14ac:dyDescent="0.35">
      <c r="A9" s="833"/>
      <c r="B9" s="46"/>
      <c r="C9" s="330" t="s">
        <v>370</v>
      </c>
      <c r="D9" s="340">
        <f>VLOOKUP(E9,Konstante!C37:F39,3,FALSE)</f>
        <v>0</v>
      </c>
      <c r="E9" s="337" t="s">
        <v>366</v>
      </c>
      <c r="F9" s="336" t="s">
        <v>369</v>
      </c>
      <c r="G9" s="330"/>
      <c r="H9" s="330"/>
      <c r="I9" s="330"/>
      <c r="K9" s="884"/>
      <c r="L9" s="885"/>
      <c r="M9" s="885"/>
      <c r="N9" s="885"/>
      <c r="O9" s="885"/>
      <c r="P9" s="885"/>
      <c r="Q9" s="886"/>
      <c r="T9" s="141"/>
      <c r="U9" s="141"/>
    </row>
    <row r="10" spans="1:26" ht="15.5" x14ac:dyDescent="0.35">
      <c r="A10" s="833"/>
      <c r="B10" s="46"/>
      <c r="C10" s="330" t="s">
        <v>368</v>
      </c>
      <c r="D10" s="340">
        <f>VLOOKUP(E10,Konstante!C37:F39,4,FALSE)</f>
        <v>0</v>
      </c>
      <c r="E10" s="337" t="s">
        <v>366</v>
      </c>
      <c r="F10" s="336" t="s">
        <v>367</v>
      </c>
      <c r="G10" s="330"/>
      <c r="H10" s="330"/>
      <c r="I10" s="330"/>
      <c r="K10" s="254"/>
      <c r="M10" s="57"/>
      <c r="T10" s="141"/>
      <c r="U10" s="141"/>
    </row>
    <row r="11" spans="1:26" ht="15.5" x14ac:dyDescent="0.35">
      <c r="A11" s="833"/>
      <c r="B11" s="46"/>
      <c r="C11" s="330" t="s">
        <v>140</v>
      </c>
      <c r="D11" s="340">
        <f>VLOOKUP(E11,Konstante!C37:F39,2,FALSE)</f>
        <v>0</v>
      </c>
      <c r="E11" s="337" t="s">
        <v>366</v>
      </c>
      <c r="F11" s="336" t="s">
        <v>331</v>
      </c>
      <c r="G11" s="330"/>
      <c r="H11" s="330"/>
      <c r="I11" s="330"/>
      <c r="K11" s="254"/>
      <c r="L11" s="254"/>
      <c r="N11" s="254"/>
      <c r="O11" s="254"/>
      <c r="T11" s="141"/>
      <c r="U11" s="141"/>
    </row>
    <row r="12" spans="1:26" ht="15.5" x14ac:dyDescent="0.35">
      <c r="A12" s="833"/>
      <c r="B12" s="46"/>
      <c r="C12" s="330" t="s">
        <v>190</v>
      </c>
      <c r="D12" s="340">
        <f>VLOOKUP(E12,Konstante!C42:E46,3,FALSE)</f>
        <v>1</v>
      </c>
      <c r="E12" s="887" t="s">
        <v>547</v>
      </c>
      <c r="F12" s="888"/>
      <c r="G12" s="338" t="s">
        <v>364</v>
      </c>
      <c r="H12" s="339"/>
      <c r="I12" s="339"/>
      <c r="T12" s="141"/>
      <c r="U12" s="141"/>
    </row>
    <row r="13" spans="1:26" ht="15.5" x14ac:dyDescent="0.35">
      <c r="A13" s="833"/>
      <c r="B13" s="45"/>
      <c r="C13" s="330" t="s">
        <v>363</v>
      </c>
      <c r="D13" s="340">
        <f>VLOOKUP(E13,Konstante!K36:N45,4,FALSE)</f>
        <v>1</v>
      </c>
      <c r="E13" s="889" t="s">
        <v>538</v>
      </c>
      <c r="F13" s="890"/>
      <c r="G13" s="891"/>
      <c r="H13" s="336" t="s">
        <v>361</v>
      </c>
      <c r="I13" s="330"/>
      <c r="K13" s="254"/>
      <c r="L13" s="254"/>
      <c r="M13" s="332"/>
      <c r="N13" s="254"/>
      <c r="O13" s="254"/>
      <c r="P13" s="254"/>
      <c r="T13" s="141"/>
      <c r="U13" s="141"/>
    </row>
    <row r="14" spans="1:26" ht="15.5" x14ac:dyDescent="0.35">
      <c r="A14" s="833"/>
      <c r="B14" s="46"/>
      <c r="C14" s="330" t="str">
        <f>IF(AND(E13=Konstante!K36,Nd=0),"Anz","")</f>
        <v>Anz</v>
      </c>
      <c r="D14" s="580">
        <v>1</v>
      </c>
      <c r="E14" s="338" t="str">
        <f>IF(AND(E13=Konstante!K36,Nd&gt;0),"Möglichkeit der Eingabe einer Anzahl von Folgemess., wenn Nd=0!",IF(AND(E13=Konstante!K36,Nd=0),"   Anzahl der Folgemessungen",""))</f>
        <v xml:space="preserve">   Anzahl der Folgemessungen</v>
      </c>
      <c r="F14" s="330"/>
      <c r="G14" s="330"/>
      <c r="H14" s="330"/>
      <c r="I14" s="330"/>
      <c r="K14" s="254"/>
      <c r="L14" s="254"/>
      <c r="M14" s="332"/>
      <c r="N14" s="254"/>
      <c r="O14" s="254"/>
      <c r="P14" s="254"/>
      <c r="T14" s="141"/>
      <c r="U14" s="141"/>
    </row>
    <row r="15" spans="1:26" ht="15.5" x14ac:dyDescent="0.35">
      <c r="A15" s="833"/>
      <c r="B15" s="46"/>
      <c r="C15" s="330"/>
      <c r="D15" s="330"/>
      <c r="E15" s="330"/>
      <c r="F15" s="330"/>
      <c r="G15" s="592" t="s">
        <v>633</v>
      </c>
      <c r="H15" s="330"/>
      <c r="I15" s="330"/>
      <c r="K15" s="254"/>
      <c r="L15" s="254"/>
      <c r="M15" s="332"/>
      <c r="N15" s="254"/>
      <c r="O15" s="254"/>
      <c r="P15" s="254"/>
      <c r="T15" s="141"/>
      <c r="U15" s="141"/>
    </row>
    <row r="16" spans="1:26" ht="15.5" x14ac:dyDescent="0.35">
      <c r="A16" s="833"/>
      <c r="B16" s="46"/>
      <c r="C16" s="47" t="s">
        <v>34</v>
      </c>
      <c r="D16" s="47"/>
      <c r="E16" s="320">
        <v>0</v>
      </c>
      <c r="F16" s="47"/>
      <c r="G16" s="868"/>
      <c r="H16" s="869"/>
      <c r="I16" s="47"/>
      <c r="K16" s="254"/>
      <c r="L16" s="254"/>
      <c r="M16" s="254"/>
      <c r="N16" s="254"/>
      <c r="O16" s="254"/>
      <c r="P16" s="254"/>
      <c r="T16" s="141"/>
      <c r="U16" s="141"/>
    </row>
    <row r="17" spans="1:21" ht="15.5" x14ac:dyDescent="0.35">
      <c r="A17" s="833"/>
      <c r="B17" s="46"/>
      <c r="C17" s="47" t="s">
        <v>1</v>
      </c>
      <c r="D17" s="47"/>
      <c r="E17" s="321">
        <v>0</v>
      </c>
      <c r="F17" s="47"/>
      <c r="G17" s="867"/>
      <c r="H17" s="867"/>
      <c r="I17" s="47"/>
      <c r="T17" s="141"/>
      <c r="U17" s="141"/>
    </row>
    <row r="18" spans="1:21" ht="15.5" x14ac:dyDescent="0.35">
      <c r="A18" s="833"/>
      <c r="B18" s="46"/>
      <c r="C18" s="47"/>
      <c r="D18" s="47"/>
      <c r="E18" s="53"/>
      <c r="F18" s="47"/>
      <c r="G18" s="46"/>
      <c r="H18" s="46"/>
      <c r="I18" s="45"/>
      <c r="T18" s="141"/>
      <c r="U18" s="141"/>
    </row>
    <row r="19" spans="1:21" ht="21" x14ac:dyDescent="0.5">
      <c r="A19" s="833"/>
      <c r="B19" s="45"/>
      <c r="C19" s="54" t="str">
        <f>IF(VSK=0, "UNVOLLSTÄNDIG AUSGEFÜLLT!","")</f>
        <v>UNVOLLSTÄNDIG AUSGEFÜLLT!</v>
      </c>
      <c r="D19" s="45"/>
      <c r="E19" s="45"/>
      <c r="F19" s="451">
        <f>IF(AND(ISNUMBER(n),ISNUMBER(Ndp),ISNUMBER(Nds),ISNUMBER(Nd),ISNUMBER(Ndh),ISNUMBER(Es),ISNUMBER(Ed),ISNUMBER(f),ISNUMBER(G),ISNUMBER(D)),1,0)</f>
        <v>0</v>
      </c>
      <c r="G19" s="852" t="str">
        <f>IF(VSK&lt;&gt;0, G60,"")</f>
        <v/>
      </c>
      <c r="H19" s="852"/>
      <c r="I19" s="45"/>
      <c r="P19" s="254"/>
    </row>
    <row r="20" spans="1:21" ht="15.5" x14ac:dyDescent="0.35">
      <c r="A20" s="833"/>
      <c r="B20" s="45"/>
      <c r="C20" s="45"/>
      <c r="D20" s="45"/>
      <c r="E20" s="45"/>
      <c r="F20" s="45"/>
      <c r="G20" s="45"/>
      <c r="H20" s="45"/>
      <c r="I20" s="45"/>
    </row>
    <row r="21" spans="1:21" ht="15" customHeight="1" x14ac:dyDescent="0.35">
      <c r="A21" s="830" t="s">
        <v>66</v>
      </c>
      <c r="I21" s="577" t="str">
        <f ca="1">IF(VLOOKUP(B27,CHOOSE({5,4,3,2,1},Gesamt!L32:L65,Gesamt!M32:M65,Gesamt!N32:N65,Gesamt!O32:O65,Gesamt!P32:P65,),4,0)&gt;0,CONCATENATE("Pos. ",VLOOKUP(B27,CHOOSE({5,4,3,2,1},Gesamt!L32:L65,Gesamt!M32:M65,Gesamt!N32:N65,Gesamt!O32:O65,Gesamt!P32:P65,),VLOOKUP(Gesamt!C19,Gesamt!L5:N7,3,0),0)),"")</f>
        <v/>
      </c>
    </row>
    <row r="22" spans="1:21" x14ac:dyDescent="0.35">
      <c r="A22" s="830"/>
      <c r="B22" s="831" t="str">
        <f>CONCATENATE(Gesamt!C2, ": ", Gesamt!E2)</f>
        <v xml:space="preserve">Projekt: </v>
      </c>
      <c r="C22" s="831"/>
      <c r="D22" s="831"/>
      <c r="E22" s="831"/>
      <c r="F22" s="831"/>
      <c r="G22" s="831"/>
      <c r="H22" s="831"/>
      <c r="I22" s="831"/>
    </row>
    <row r="23" spans="1:21" x14ac:dyDescent="0.35">
      <c r="A23" s="830"/>
      <c r="B23" s="832" t="str">
        <f>CONCATENATE(Gesamt!C4, ": ", Gesamt!E4, IF(Gesamt!E5&lt;&gt;""," - ",""), IF(Gesamt!E5&lt;&gt;"",Gesamt!E5,""), IF(Gesamt!E6&lt;&gt;""," - GZ. ",""), IF(Gesamt!E6&lt;&gt;"",Gesamt!E6,""),)</f>
        <v xml:space="preserve">Auftraggeber: </v>
      </c>
      <c r="C23" s="832"/>
      <c r="D23" s="832"/>
      <c r="E23" s="832"/>
      <c r="F23" s="832"/>
      <c r="G23" s="832"/>
      <c r="H23" s="832"/>
      <c r="I23" s="832"/>
    </row>
    <row r="24" spans="1:21" x14ac:dyDescent="0.35">
      <c r="A24" s="830"/>
      <c r="B24" s="832" t="str">
        <f>CONCATENATE(Gesamt!C9, ": ",Gesamt!E9,  IF(Gesamt!C10&lt;&gt;""," - ",""), IF(Gesamt!C10&lt;&gt;"",Gesamt!E10,""), IF(Gesamt!C11&lt;&gt;""," - GZ. ",""), IF(Gesamt!C11&lt;&gt;"",Gesamt!E11,""), )</f>
        <v xml:space="preserve">Bieter:  -  - GZ. </v>
      </c>
      <c r="C24" s="832"/>
      <c r="D24" s="832"/>
      <c r="E24" s="832"/>
      <c r="F24" s="832"/>
      <c r="G24" s="832"/>
      <c r="H24" s="832"/>
      <c r="I24" s="832"/>
    </row>
    <row r="25" spans="1:21" x14ac:dyDescent="0.35">
      <c r="A25" s="830"/>
      <c r="B25" s="832" t="s">
        <v>41</v>
      </c>
      <c r="C25" s="832"/>
      <c r="D25" s="832"/>
      <c r="E25" s="832"/>
      <c r="F25" s="832"/>
      <c r="G25" s="832"/>
      <c r="H25" s="832"/>
      <c r="I25" s="832"/>
    </row>
    <row r="26" spans="1:21" x14ac:dyDescent="0.35">
      <c r="A26" s="830"/>
    </row>
    <row r="27" spans="1:21" ht="18.5" x14ac:dyDescent="0.35">
      <c r="A27" s="830"/>
      <c r="B27" s="843" t="str">
        <f>D2</f>
        <v>Detailpunkte</v>
      </c>
      <c r="C27" s="843"/>
      <c r="D27" s="843"/>
      <c r="E27" s="843"/>
      <c r="F27" s="843"/>
      <c r="G27" s="843"/>
      <c r="H27" s="843"/>
      <c r="I27" s="843"/>
    </row>
    <row r="28" spans="1:21" x14ac:dyDescent="0.35">
      <c r="A28" s="830"/>
    </row>
    <row r="29" spans="1:21" ht="15.5" x14ac:dyDescent="0.35">
      <c r="A29" s="830"/>
      <c r="C29" s="11" t="str">
        <f>CONCATENATE("LB_VG, Pos. ", VLOOKUP(E13,Konstante!K36:T45,5,FALSE))</f>
        <v>LB_VG, Pos. 4.4.1,  Deformationsmessung Lage und Höhe</v>
      </c>
    </row>
    <row r="30" spans="1:21" x14ac:dyDescent="0.35">
      <c r="A30" s="830"/>
    </row>
    <row r="31" spans="1:21" x14ac:dyDescent="0.35">
      <c r="A31" s="830"/>
      <c r="C31" t="s">
        <v>959</v>
      </c>
      <c r="E31" s="118">
        <f>IS</f>
        <v>0</v>
      </c>
    </row>
    <row r="32" spans="1:21" x14ac:dyDescent="0.35">
      <c r="A32" s="830"/>
      <c r="C32" s="15"/>
    </row>
    <row r="33" spans="1:8" x14ac:dyDescent="0.35">
      <c r="A33" s="830"/>
      <c r="C33" s="293" t="s">
        <v>360</v>
      </c>
      <c r="D33" s="291" t="s">
        <v>1088</v>
      </c>
      <c r="E33" s="30"/>
    </row>
    <row r="34" spans="1:8" x14ac:dyDescent="0.35">
      <c r="A34" s="830"/>
      <c r="D34" s="291" t="s">
        <v>1089</v>
      </c>
      <c r="E34" s="30"/>
    </row>
    <row r="35" spans="1:8" x14ac:dyDescent="0.35">
      <c r="A35" s="830"/>
    </row>
    <row r="36" spans="1:8" ht="15.5" x14ac:dyDescent="0.35">
      <c r="A36" s="830"/>
      <c r="C36" s="69" t="s">
        <v>337</v>
      </c>
      <c r="D36" s="496">
        <f>n</f>
        <v>0</v>
      </c>
      <c r="E36" s="571" t="s">
        <v>359</v>
      </c>
    </row>
    <row r="37" spans="1:8" ht="15.5" x14ac:dyDescent="0.35">
      <c r="A37" s="830"/>
      <c r="C37" s="69" t="s">
        <v>358</v>
      </c>
      <c r="D37" s="496">
        <f>Ndp</f>
        <v>0</v>
      </c>
      <c r="E37" s="571" t="s">
        <v>357</v>
      </c>
    </row>
    <row r="38" spans="1:8" ht="15.5" x14ac:dyDescent="0.35">
      <c r="A38" s="830"/>
      <c r="C38" s="69" t="s">
        <v>356</v>
      </c>
      <c r="D38" s="496">
        <f>Nds</f>
        <v>0</v>
      </c>
      <c r="E38" s="571" t="s">
        <v>355</v>
      </c>
      <c r="F38" s="409"/>
      <c r="G38" s="234"/>
    </row>
    <row r="39" spans="1:8" ht="15.5" x14ac:dyDescent="0.35">
      <c r="A39" s="830"/>
      <c r="C39" s="69" t="s">
        <v>354</v>
      </c>
      <c r="D39" s="496">
        <f>Nd</f>
        <v>0</v>
      </c>
      <c r="E39" s="571" t="s">
        <v>353</v>
      </c>
      <c r="H39" s="234"/>
    </row>
    <row r="40" spans="1:8" ht="15.5" x14ac:dyDescent="0.35">
      <c r="A40" s="830"/>
      <c r="C40" s="69" t="s">
        <v>352</v>
      </c>
      <c r="D40" s="496">
        <f>Ndh</f>
        <v>0</v>
      </c>
      <c r="E40" s="571" t="s">
        <v>351</v>
      </c>
    </row>
    <row r="41" spans="1:8" ht="15.5" x14ac:dyDescent="0.35">
      <c r="A41" s="830"/>
      <c r="C41" s="69" t="s">
        <v>350</v>
      </c>
      <c r="D41" s="534">
        <f>Es</f>
        <v>0</v>
      </c>
      <c r="E41" s="571" t="str">
        <f>CONCATENATE("Erreichbarkeit der Standpunkte: ", E9)</f>
        <v>Erreichbarkeit der Standpunkte: einfach</v>
      </c>
    </row>
    <row r="42" spans="1:8" ht="15.5" x14ac:dyDescent="0.35">
      <c r="A42" s="830"/>
      <c r="C42" s="69" t="s">
        <v>349</v>
      </c>
      <c r="D42" s="534">
        <f>Ed</f>
        <v>0</v>
      </c>
      <c r="E42" s="571" t="str">
        <f>CONCATENATE("Erreichbarkeit der Detailpunkte: ",E10)</f>
        <v>Erreichbarkeit der Detailpunkte: einfach</v>
      </c>
    </row>
    <row r="43" spans="1:8" ht="15.5" x14ac:dyDescent="0.35">
      <c r="A43" s="830"/>
      <c r="C43" s="69" t="s">
        <v>325</v>
      </c>
      <c r="D43" s="534">
        <f>f</f>
        <v>0</v>
      </c>
      <c r="E43" s="571" t="str">
        <f>CONCATENATE("Geländeklasse und Schwierigkeitsstufe: ",E11)</f>
        <v>Geländeklasse und Schwierigkeitsstufe: einfach</v>
      </c>
    </row>
    <row r="44" spans="1:8" ht="15.5" x14ac:dyDescent="0.35">
      <c r="A44" s="830"/>
      <c r="C44" s="69" t="s">
        <v>276</v>
      </c>
      <c r="D44" s="534">
        <f>G</f>
        <v>1</v>
      </c>
      <c r="E44" s="571" t="str">
        <f>CONCATENATE("Standardabweichung Lage/Höhe: ", E12)</f>
        <v>Standardabweichung Lage/Höhe: 3mm/5mm</v>
      </c>
    </row>
    <row r="45" spans="1:8" ht="15.5" x14ac:dyDescent="0.35">
      <c r="A45" s="830"/>
      <c r="C45" s="69" t="s">
        <v>348</v>
      </c>
      <c r="D45" s="534">
        <f>D</f>
        <v>1</v>
      </c>
      <c r="E45" s="571" t="str">
        <f>CONCATENATE("Darstellungsfaktor (",E13,")")</f>
        <v>Darstellungsfaktor (Deformationsmessung)</v>
      </c>
    </row>
    <row r="46" spans="1:8" x14ac:dyDescent="0.35">
      <c r="A46" s="830"/>
    </row>
    <row r="47" spans="1:8" x14ac:dyDescent="0.35">
      <c r="A47" s="830"/>
    </row>
    <row r="48" spans="1:8" x14ac:dyDescent="0.35">
      <c r="A48" s="830"/>
      <c r="C48" s="3" t="s">
        <v>60</v>
      </c>
      <c r="D48" s="3"/>
      <c r="E48" s="3"/>
      <c r="F48" s="22">
        <f>IF(VSK&lt;&gt;0,(12.145+(0.847*n^0.4*(1+Es)+(0.42*Ndp^0.8+0.2555*Nd^0.8+0.056*Ndh^0.8)*(1+Ed)+0.2625*Nds^0.8)*(n*15/(Ndp+Nds))^0.4)*G*(1+f)*D*IS,0)</f>
        <v>0</v>
      </c>
      <c r="G48" s="1"/>
    </row>
    <row r="49" spans="1:8" x14ac:dyDescent="0.35">
      <c r="A49" s="830"/>
      <c r="F49" s="28"/>
      <c r="G49" s="1"/>
    </row>
    <row r="50" spans="1:8" x14ac:dyDescent="0.35">
      <c r="A50" s="830"/>
      <c r="C50" t="str">
        <f>IF(AND(VSK&gt;0,D14&gt;1,E13=Konstante!K36,Nd=0),CONCATENATE("insgesamt ", D14, " Folgemessungen: "),"")</f>
        <v/>
      </c>
      <c r="F50" s="17" t="str">
        <f>IF(AND(VSK&gt;0,D14&gt;1,E13=Konstante!K36,Nd=0),D14*F48,"")</f>
        <v/>
      </c>
    </row>
    <row r="51" spans="1:8" x14ac:dyDescent="0.35">
      <c r="A51" s="830"/>
    </row>
    <row r="52" spans="1:8" x14ac:dyDescent="0.35">
      <c r="A52" s="830"/>
    </row>
    <row r="53" spans="1:8" x14ac:dyDescent="0.35">
      <c r="A53" s="830"/>
    </row>
    <row r="54" spans="1:8" x14ac:dyDescent="0.35">
      <c r="A54" s="830"/>
    </row>
    <row r="55" spans="1:8" x14ac:dyDescent="0.35">
      <c r="A55" s="830"/>
    </row>
    <row r="56" spans="1:8" x14ac:dyDescent="0.35">
      <c r="A56" s="830"/>
      <c r="B56" s="3"/>
      <c r="C56" t="str">
        <f>IF(AND(ZuAbschlag&lt;&gt;0,VSK&lt;&gt;0),"Zu-/Abschlag:","")</f>
        <v/>
      </c>
      <c r="E56" s="15" t="str">
        <f>IF(AND(ZuAbschlag&lt;&gt;0,VSK&lt;&gt;0),ZuAbschlag,"")</f>
        <v/>
      </c>
      <c r="F56" s="17" t="str">
        <f>IF(AND(ZuAbschlag&lt;&gt;0,VSK&lt;&gt;0),IF(AND(VSK&gt;0,D14&gt;1,E13=Konstante!K36,Nd=0),E56*F50,E56*F48),"")</f>
        <v/>
      </c>
      <c r="G56" s="1" t="str">
        <f>IF(AND(ZuAbschlag&lt;&gt;0,VSK&lt;&gt;0,G16&lt;&gt;""),G16,"")</f>
        <v/>
      </c>
    </row>
    <row r="57" spans="1:8" x14ac:dyDescent="0.35">
      <c r="A57" s="830"/>
      <c r="C57" t="str">
        <f>IF(AND(NK&lt;&gt;0,VSK&lt;&gt;0),"Nebenkosten:","")</f>
        <v/>
      </c>
      <c r="F57" s="17" t="str">
        <f>IF(AND(NK&lt;&gt;0,VSK&lt;&gt;0),NK,"")</f>
        <v/>
      </c>
      <c r="G57" s="1" t="str">
        <f>IF(AND(NK&lt;&gt;0,VSK&lt;&gt;0,G17&lt;&gt;""),G17,"")</f>
        <v/>
      </c>
    </row>
    <row r="58" spans="1:8" x14ac:dyDescent="0.35">
      <c r="A58" s="830"/>
      <c r="C58" s="78"/>
      <c r="D58" s="78"/>
      <c r="E58" s="78"/>
      <c r="F58" s="78"/>
      <c r="G58" s="78"/>
      <c r="H58" s="78"/>
    </row>
    <row r="59" spans="1:8" x14ac:dyDescent="0.35">
      <c r="A59" s="830"/>
    </row>
    <row r="60" spans="1:8" ht="15.5" x14ac:dyDescent="0.35">
      <c r="A60" s="830"/>
      <c r="C60" s="16" t="s">
        <v>65</v>
      </c>
      <c r="D60" s="16"/>
      <c r="E60" s="16"/>
      <c r="F60" s="16"/>
      <c r="G60" s="842">
        <f>IF(VSK&gt;0,IF(AND(VSK&gt;0,D14&gt;1,E13=Konstante!K36,Nd=0),SUM(F50,F56,F57),SUM(F48,F56,F57)),0)</f>
        <v>0</v>
      </c>
      <c r="H60" s="842"/>
    </row>
    <row r="61" spans="1:8" ht="15.5" x14ac:dyDescent="0.35">
      <c r="A61" s="830"/>
      <c r="B61" s="16"/>
    </row>
    <row r="62" spans="1:8" x14ac:dyDescent="0.35">
      <c r="A62" s="830"/>
    </row>
    <row r="63" spans="1:8" x14ac:dyDescent="0.35">
      <c r="A63" s="830"/>
    </row>
    <row r="64" spans="1:8" x14ac:dyDescent="0.35">
      <c r="A64" s="830"/>
    </row>
    <row r="65" spans="1:1" x14ac:dyDescent="0.35">
      <c r="A65" s="830"/>
    </row>
    <row r="66" spans="1:1" x14ac:dyDescent="0.35">
      <c r="A66" s="830"/>
    </row>
    <row r="67" spans="1:1" x14ac:dyDescent="0.35">
      <c r="A67" s="830"/>
    </row>
    <row r="68" spans="1:1" x14ac:dyDescent="0.35">
      <c r="A68" s="830"/>
    </row>
    <row r="69" spans="1:1" x14ac:dyDescent="0.35">
      <c r="A69" s="830"/>
    </row>
  </sheetData>
  <mergeCells count="15">
    <mergeCell ref="K7:Q9"/>
    <mergeCell ref="B27:I27"/>
    <mergeCell ref="A1:A20"/>
    <mergeCell ref="D2:H2"/>
    <mergeCell ref="G16:H16"/>
    <mergeCell ref="G17:H17"/>
    <mergeCell ref="G19:H19"/>
    <mergeCell ref="A21:A69"/>
    <mergeCell ref="B22:I22"/>
    <mergeCell ref="B23:I23"/>
    <mergeCell ref="B24:I24"/>
    <mergeCell ref="B25:I25"/>
    <mergeCell ref="E12:F12"/>
    <mergeCell ref="E13:G13"/>
    <mergeCell ref="G60:H60"/>
  </mergeCells>
  <dataValidations count="5">
    <dataValidation type="whole" operator="greaterThan" allowBlank="1" showInputMessage="1" showErrorMessage="1" error="Wertebereich: 1 und größer" sqref="D5:D8" xr:uid="{00000000-0002-0000-0800-000000000000}">
      <formula1>-1</formula1>
    </dataValidation>
    <dataValidation type="whole" operator="greaterThan" allowBlank="1" showInputMessage="1" showErrorMessage="1" error="Wertebereich: 1 und größer" sqref="D4" xr:uid="{00000000-0002-0000-0800-000001000000}">
      <formula1>0</formula1>
    </dataValidation>
    <dataValidation type="decimal" operator="greaterThan" showInputMessage="1" showErrorMessage="1" sqref="E16" xr:uid="{00000000-0002-0000-0800-000002000000}">
      <formula1>-1000</formula1>
    </dataValidation>
    <dataValidation type="whole" operator="greaterThan" allowBlank="1" showInputMessage="1" showErrorMessage="1" error="Wertebereich: 1 und größer, ganze Zahlen" sqref="D14" xr:uid="{00000000-0002-0000-0800-000003000000}">
      <formula1>0</formula1>
    </dataValidation>
    <dataValidation type="decimal" operator="greaterThan" allowBlank="1" showInputMessage="1" showErrorMessage="1" sqref="E17" xr:uid="{00000000-0002-0000-0800-000004000000}">
      <formula1>-1000000</formula1>
    </dataValidation>
  </dataValidations>
  <pageMargins left="0.70866141732283472" right="0.39370078740157483" top="0.59055118110236227" bottom="0.59055118110236227" header="0.31496062992125984" footer="0.31496062992125984"/>
  <pageSetup paperSize="9" orientation="portrait" r:id="rId1"/>
  <headerFooter>
    <oddFooter>&amp;L&amp;9&amp;F, &amp;A&amp;R&amp;9&amp;D</oddFooter>
  </headerFooter>
  <legacyDrawingHF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10E530-F49B-4E8F-9F2D-EB114046468B}">
            <xm:f>AND($E$13=Konstante!$K$36,Nd=0)</xm:f>
            <x14:dxf>
              <font>
                <color theme="1"/>
              </font>
              <fill>
                <patternFill>
                  <bgColor theme="0"/>
                </patternFill>
              </fill>
            </x14:dxf>
          </x14:cfRule>
          <xm:sqref>D14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3">
        <x14:dataValidation type="list" showInputMessage="1" showErrorMessage="1" xr:uid="{00000000-0002-0000-0800-000005000000}">
          <x14:formula1>
            <xm:f>Konstante!$C$37:$C$39</xm:f>
          </x14:formula1>
          <xm:sqref>E9:E11</xm:sqref>
        </x14:dataValidation>
        <x14:dataValidation type="list" allowBlank="1" showInputMessage="1" showErrorMessage="1" xr:uid="{00000000-0002-0000-0800-000007000000}">
          <x14:formula1>
            <xm:f>Konstante!$K$36:$K$45</xm:f>
          </x14:formula1>
          <xm:sqref>E13:G13</xm:sqref>
        </x14:dataValidation>
        <x14:dataValidation type="list" showInputMessage="1" showErrorMessage="1" xr:uid="{00000000-0002-0000-0800-000006000000}">
          <x14:formula1>
            <xm:f>Konstante!$C$42:$C$46</xm:f>
          </x14:formula1>
          <xm:sqref>E12:F12</xm:sqref>
        </x14:dataValidation>
      </x14:dataValidation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1"/>
  <dimension ref="A1:U95"/>
  <sheetViews>
    <sheetView zoomScaleNormal="100" workbookViewId="0">
      <selection activeCell="C27" sqref="C27"/>
    </sheetView>
  </sheetViews>
  <sheetFormatPr baseColWidth="10" defaultColWidth="11.453125" defaultRowHeight="14.5" x14ac:dyDescent="0.35"/>
  <cols>
    <col min="1" max="1" width="4" customWidth="1"/>
    <col min="2" max="2" width="4.7265625" customWidth="1"/>
    <col min="3" max="3" width="5.7265625" customWidth="1"/>
    <col min="4" max="4" width="35.7265625" customWidth="1"/>
    <col min="5" max="7" width="8.453125" customWidth="1"/>
    <col min="8" max="8" width="11.453125" customWidth="1"/>
    <col min="9" max="9" width="4.26953125" customWidth="1"/>
  </cols>
  <sheetData>
    <row r="1" spans="1:21" ht="15.75" customHeight="1" x14ac:dyDescent="0.35">
      <c r="A1" s="833" t="s">
        <v>35</v>
      </c>
      <c r="B1" s="45"/>
      <c r="C1" s="45"/>
      <c r="D1" s="45"/>
      <c r="E1" s="45"/>
      <c r="F1" s="45"/>
      <c r="G1" s="45"/>
      <c r="H1" s="45"/>
      <c r="I1" s="45"/>
      <c r="K1" s="93" t="s">
        <v>699</v>
      </c>
      <c r="L1" s="93"/>
      <c r="M1" s="93"/>
      <c r="N1" s="94">
        <f ca="1">CELL("ZEILE",B60)</f>
        <v>60</v>
      </c>
    </row>
    <row r="2" spans="1:21" ht="21" x14ac:dyDescent="0.35">
      <c r="A2" s="833"/>
      <c r="B2" s="46"/>
      <c r="C2" s="896" t="s">
        <v>87</v>
      </c>
      <c r="D2" s="897"/>
      <c r="E2" s="897"/>
      <c r="F2" s="897"/>
      <c r="G2" s="897"/>
      <c r="H2" s="898"/>
      <c r="I2" s="45"/>
      <c r="K2" s="175" t="s">
        <v>700</v>
      </c>
      <c r="L2" s="155"/>
      <c r="M2" s="155"/>
      <c r="N2" s="175">
        <f ca="1">CELL("ZEILE",G92)</f>
        <v>92</v>
      </c>
    </row>
    <row r="3" spans="1:21" ht="15.5" x14ac:dyDescent="0.35">
      <c r="A3" s="833"/>
      <c r="B3" s="330"/>
      <c r="C3" s="330"/>
      <c r="D3" s="330"/>
      <c r="E3" s="330"/>
      <c r="F3" s="330"/>
      <c r="G3" s="330"/>
      <c r="H3" s="330"/>
      <c r="I3" s="330"/>
      <c r="K3" s="175" t="s">
        <v>701</v>
      </c>
      <c r="L3" s="155"/>
      <c r="M3" s="155"/>
      <c r="N3" s="175">
        <f>E52</f>
        <v>0</v>
      </c>
    </row>
    <row r="4" spans="1:21" ht="16" thickBot="1" x14ac:dyDescent="0.4">
      <c r="A4" s="833"/>
      <c r="B4" s="330"/>
      <c r="C4" s="330" t="s">
        <v>600</v>
      </c>
      <c r="D4" s="330"/>
      <c r="E4" s="330"/>
      <c r="F4" s="330"/>
      <c r="G4" s="330" t="s">
        <v>599</v>
      </c>
      <c r="H4" s="330" t="s">
        <v>601</v>
      </c>
      <c r="I4" s="330"/>
    </row>
    <row r="5" spans="1:21" s="234" customFormat="1" ht="15" customHeight="1" thickBot="1" x14ac:dyDescent="0.35">
      <c r="A5" s="833"/>
      <c r="B5" s="242"/>
      <c r="C5" s="546" t="str">
        <f>'6.2'!C8:F8</f>
        <v>Messgehilfe</v>
      </c>
      <c r="D5" s="547"/>
      <c r="E5" s="547"/>
      <c r="F5" s="548"/>
      <c r="G5" s="429" t="str">
        <f>'6.2'!G8</f>
        <v>Geh.</v>
      </c>
      <c r="H5" s="431">
        <f>'6.2'!H8</f>
        <v>0</v>
      </c>
      <c r="I5" s="432"/>
    </row>
    <row r="6" spans="1:21" s="234" customFormat="1" ht="15" customHeight="1" thickBot="1" x14ac:dyDescent="0.4">
      <c r="A6" s="833"/>
      <c r="B6" s="242"/>
      <c r="C6" s="546" t="str">
        <f>'6.2'!C9:F9</f>
        <v>Schreibkraft</v>
      </c>
      <c r="D6" s="547"/>
      <c r="E6" s="547"/>
      <c r="F6" s="548"/>
      <c r="G6" s="429" t="str">
        <f>'6.2'!G9</f>
        <v>Sek.</v>
      </c>
      <c r="H6" s="431">
        <f>'6.2'!H9</f>
        <v>0</v>
      </c>
      <c r="I6" s="432"/>
      <c r="M6"/>
      <c r="N6"/>
      <c r="O6"/>
      <c r="P6"/>
    </row>
    <row r="7" spans="1:21" s="234" customFormat="1" ht="15" customHeight="1" thickBot="1" x14ac:dyDescent="0.4">
      <c r="A7" s="833"/>
      <c r="B7" s="242"/>
      <c r="C7" s="546" t="str">
        <f>'6.2'!C10:F10</f>
        <v>Techniker</v>
      </c>
      <c r="D7" s="547"/>
      <c r="E7" s="547"/>
      <c r="F7" s="548"/>
      <c r="G7" s="429" t="str">
        <f>'6.2'!G10</f>
        <v>Tech.</v>
      </c>
      <c r="H7" s="431">
        <f>'6.2'!H10</f>
        <v>0</v>
      </c>
      <c r="I7" s="432"/>
      <c r="M7"/>
      <c r="N7"/>
      <c r="O7"/>
      <c r="P7"/>
      <c r="R7" s="433"/>
      <c r="S7" s="433"/>
      <c r="T7" s="433"/>
      <c r="U7" s="433"/>
    </row>
    <row r="8" spans="1:21" s="234" customFormat="1" ht="15" customHeight="1" thickBot="1" x14ac:dyDescent="0.35">
      <c r="A8" s="833"/>
      <c r="B8" s="242"/>
      <c r="C8" s="546" t="str">
        <f>'6.2'!C11:F11</f>
        <v>Nachtzuschlag Techniker</v>
      </c>
      <c r="D8" s="547"/>
      <c r="E8" s="547"/>
      <c r="F8" s="548"/>
      <c r="G8" s="429" t="str">
        <f>'6.2'!G11</f>
        <v>NZ-Techn.</v>
      </c>
      <c r="H8" s="431">
        <f>'6.2'!H11</f>
        <v>0</v>
      </c>
      <c r="I8" s="432"/>
      <c r="R8" s="433"/>
      <c r="S8" s="433"/>
      <c r="T8" s="433"/>
      <c r="U8" s="433"/>
    </row>
    <row r="9" spans="1:21" s="234" customFormat="1" ht="15" customHeight="1" thickBot="1" x14ac:dyDescent="0.35">
      <c r="A9" s="833"/>
      <c r="B9" s="336"/>
      <c r="C9" s="546" t="str">
        <f>'6.2'!C12:F12</f>
        <v>CAD-Auswertestunde</v>
      </c>
      <c r="D9" s="547"/>
      <c r="E9" s="547"/>
      <c r="F9" s="548"/>
      <c r="G9" s="429" t="str">
        <f>'6.2'!G12</f>
        <v>CAD</v>
      </c>
      <c r="H9" s="431">
        <f>'6.2'!H12</f>
        <v>0</v>
      </c>
      <c r="I9" s="336"/>
      <c r="R9" s="433"/>
      <c r="S9" s="433"/>
      <c r="T9" s="433"/>
      <c r="U9" s="433"/>
    </row>
    <row r="10" spans="1:21" s="234" customFormat="1" ht="15" customHeight="1" thickBot="1" x14ac:dyDescent="0.35">
      <c r="A10" s="833"/>
      <c r="B10" s="336"/>
      <c r="C10" s="546" t="str">
        <f>'6.2'!C13:F13</f>
        <v>Ingenieur</v>
      </c>
      <c r="D10" s="547"/>
      <c r="E10" s="547"/>
      <c r="F10" s="548"/>
      <c r="G10" s="429" t="str">
        <f>'6.2'!G13</f>
        <v>Ing.</v>
      </c>
      <c r="H10" s="431">
        <f>'6.2'!H13</f>
        <v>0</v>
      </c>
      <c r="I10" s="336"/>
      <c r="O10" s="433"/>
      <c r="P10" s="433"/>
      <c r="R10" s="433"/>
      <c r="S10" s="433"/>
      <c r="T10" s="433"/>
      <c r="U10" s="433"/>
    </row>
    <row r="11" spans="1:21" s="234" customFormat="1" ht="15" customHeight="1" thickBot="1" x14ac:dyDescent="0.4">
      <c r="A11" s="833"/>
      <c r="B11" s="336"/>
      <c r="C11" s="546" t="str">
        <f>'6.2'!C14:F14</f>
        <v>Nachtzuschlag Ingenieur</v>
      </c>
      <c r="D11" s="547"/>
      <c r="E11" s="547"/>
      <c r="F11" s="548"/>
      <c r="G11" s="429" t="str">
        <f>'6.2'!G14</f>
        <v>NZ-Ing.</v>
      </c>
      <c r="H11" s="431">
        <f>'6.2'!H14</f>
        <v>0</v>
      </c>
      <c r="I11" s="336"/>
      <c r="K11" s="288"/>
      <c r="L11"/>
      <c r="O11" s="433"/>
      <c r="P11" s="433"/>
      <c r="R11" s="433"/>
      <c r="S11" s="433"/>
      <c r="T11" s="433"/>
      <c r="U11" s="433"/>
    </row>
    <row r="12" spans="1:21" s="234" customFormat="1" ht="15" customHeight="1" thickBot="1" x14ac:dyDescent="0.4">
      <c r="A12" s="833"/>
      <c r="B12" s="336"/>
      <c r="C12" s="546" t="str">
        <f>'6.2'!C15:F15</f>
        <v>qualifizierter Ingenieur</v>
      </c>
      <c r="D12" s="547"/>
      <c r="E12" s="547"/>
      <c r="F12" s="548"/>
      <c r="G12" s="429" t="str">
        <f>'6.2'!G15</f>
        <v>qu.Ing.</v>
      </c>
      <c r="H12" s="431">
        <f>'6.2'!H15</f>
        <v>0</v>
      </c>
      <c r="I12" s="336"/>
      <c r="K12"/>
      <c r="L12"/>
      <c r="O12" s="433"/>
      <c r="P12" s="433"/>
      <c r="R12" s="433"/>
      <c r="S12" s="433"/>
      <c r="T12" s="433"/>
      <c r="U12" s="433"/>
    </row>
    <row r="13" spans="1:21" s="234" customFormat="1" ht="15" customHeight="1" thickBot="1" x14ac:dyDescent="0.4">
      <c r="A13" s="833"/>
      <c r="B13" s="336"/>
      <c r="C13" s="546" t="str">
        <f>'6.2'!C16:F16</f>
        <v>Ziviltechnikerleistung</v>
      </c>
      <c r="D13" s="547"/>
      <c r="E13" s="547"/>
      <c r="F13" s="548"/>
      <c r="G13" s="429" t="str">
        <f>'6.2'!G16</f>
        <v>ZT</v>
      </c>
      <c r="H13" s="431">
        <f>'6.2'!H16</f>
        <v>0</v>
      </c>
      <c r="I13" s="336"/>
      <c r="L13" s="471"/>
      <c r="O13" s="433"/>
      <c r="P13" s="433"/>
      <c r="R13" s="433"/>
      <c r="S13" s="433"/>
      <c r="T13" s="433"/>
      <c r="U13" s="433"/>
    </row>
    <row r="14" spans="1:21" s="234" customFormat="1" ht="15" customHeight="1" thickBot="1" x14ac:dyDescent="0.4">
      <c r="A14" s="833"/>
      <c r="B14" s="336"/>
      <c r="C14" s="546" t="str">
        <f>'6.2'!C17:F17</f>
        <v>1-Personen-Partie inkl. Gerät</v>
      </c>
      <c r="D14" s="547"/>
      <c r="E14" s="547"/>
      <c r="F14" s="548"/>
      <c r="G14" s="429" t="str">
        <f>'6.2'!G17</f>
        <v>1MP</v>
      </c>
      <c r="H14" s="431">
        <f>'6.2'!H17</f>
        <v>0</v>
      </c>
      <c r="I14" s="336"/>
      <c r="L14"/>
      <c r="O14" s="433"/>
      <c r="P14" s="433"/>
      <c r="Q14" s="433"/>
      <c r="R14" s="433"/>
      <c r="S14" s="433"/>
      <c r="T14" s="433"/>
      <c r="U14" s="433"/>
    </row>
    <row r="15" spans="1:21" s="234" customFormat="1" ht="15" customHeight="1" thickBot="1" x14ac:dyDescent="0.35">
      <c r="A15" s="833"/>
      <c r="B15" s="336"/>
      <c r="C15" s="546" t="str">
        <f>'6.2'!C18:F18</f>
        <v>2-Personen-Partie inkl. Gerät</v>
      </c>
      <c r="D15" s="547"/>
      <c r="E15" s="547"/>
      <c r="F15" s="548"/>
      <c r="G15" s="429" t="str">
        <f>'6.2'!G18</f>
        <v>2MP</v>
      </c>
      <c r="H15" s="431">
        <f>'6.2'!H18</f>
        <v>0</v>
      </c>
      <c r="I15" s="336"/>
      <c r="L15" s="434"/>
      <c r="O15" s="433"/>
      <c r="P15" s="433"/>
      <c r="Q15" s="433"/>
      <c r="R15" s="433"/>
      <c r="S15" s="433"/>
      <c r="T15" s="433"/>
      <c r="U15" s="433"/>
    </row>
    <row r="16" spans="1:21" s="234" customFormat="1" ht="15" customHeight="1" thickBot="1" x14ac:dyDescent="0.4">
      <c r="A16" s="833"/>
      <c r="B16" s="336"/>
      <c r="C16" s="546" t="str">
        <f>'6.2'!C19:F19</f>
        <v>Nachtzuschlag 1-Personen-Partie</v>
      </c>
      <c r="D16" s="547"/>
      <c r="E16" s="547"/>
      <c r="F16" s="548"/>
      <c r="G16" s="429" t="str">
        <f>'6.2'!G19</f>
        <v>NZ-1MP</v>
      </c>
      <c r="H16" s="431">
        <f>'6.2'!H19</f>
        <v>0</v>
      </c>
      <c r="I16" s="336"/>
      <c r="K16" s="288"/>
      <c r="L16" s="434"/>
      <c r="M16" s="433"/>
      <c r="N16" s="433"/>
      <c r="O16" s="433"/>
      <c r="P16" s="433"/>
      <c r="Q16" s="433"/>
      <c r="R16" s="433"/>
      <c r="S16" s="433"/>
      <c r="T16" s="433"/>
      <c r="U16" s="433"/>
    </row>
    <row r="17" spans="1:21" s="234" customFormat="1" ht="15" customHeight="1" thickBot="1" x14ac:dyDescent="0.4">
      <c r="A17" s="833"/>
      <c r="B17" s="336"/>
      <c r="C17" s="546" t="str">
        <f>'6.2'!C20:F20</f>
        <v>Nachtzuschlag 2-Personen-Partie</v>
      </c>
      <c r="D17" s="547"/>
      <c r="E17" s="547"/>
      <c r="F17" s="548"/>
      <c r="G17" s="429" t="str">
        <f>'6.2'!G20</f>
        <v>NZ-2MP</v>
      </c>
      <c r="H17" s="431">
        <f>'6.2'!H20</f>
        <v>0</v>
      </c>
      <c r="I17" s="336"/>
      <c r="L17"/>
      <c r="O17" s="433"/>
      <c r="P17" s="433"/>
      <c r="Q17" s="433"/>
      <c r="R17" s="433"/>
      <c r="S17" s="433"/>
      <c r="T17" s="433"/>
      <c r="U17" s="433"/>
    </row>
    <row r="18" spans="1:21" s="234" customFormat="1" ht="15" customHeight="1" thickBot="1" x14ac:dyDescent="0.4">
      <c r="A18" s="833"/>
      <c r="B18" s="336"/>
      <c r="C18" s="546" t="str">
        <f>'6.2'!C21:F21</f>
        <v>Einsatzpauschale (20km An/Abfahrt) - 1MP</v>
      </c>
      <c r="D18" s="547"/>
      <c r="E18" s="547"/>
      <c r="F18" s="548"/>
      <c r="G18" s="429" t="str">
        <f>'6.2'!G21</f>
        <v>Eins-1MP</v>
      </c>
      <c r="H18" s="431">
        <f>'6.2'!H21</f>
        <v>13</v>
      </c>
      <c r="I18" s="336"/>
      <c r="L18"/>
      <c r="M18" s="433"/>
      <c r="N18" s="433"/>
      <c r="O18" s="433"/>
      <c r="P18" s="433"/>
      <c r="Q18" s="433"/>
      <c r="R18" s="433"/>
      <c r="S18" s="433"/>
      <c r="T18" s="433"/>
      <c r="U18" s="433"/>
    </row>
    <row r="19" spans="1:21" s="234" customFormat="1" ht="15" customHeight="1" thickBot="1" x14ac:dyDescent="0.4">
      <c r="A19" s="833"/>
      <c r="B19" s="336"/>
      <c r="C19" s="546" t="str">
        <f>'6.2'!C22:F22</f>
        <v>Einsatzpauschale (20km An/Abfahrt) - 2MP</v>
      </c>
      <c r="D19" s="547"/>
      <c r="E19" s="547"/>
      <c r="F19" s="548"/>
      <c r="G19" s="429" t="str">
        <f>'6.2'!G22</f>
        <v>Eins-2MP</v>
      </c>
      <c r="H19" s="431">
        <f>'6.2'!H22</f>
        <v>13</v>
      </c>
      <c r="I19" s="336"/>
      <c r="L19"/>
      <c r="M19"/>
      <c r="N19" s="433"/>
      <c r="O19" s="433"/>
      <c r="P19" s="433"/>
      <c r="Q19" s="433"/>
      <c r="R19" s="433"/>
      <c r="S19" s="433"/>
      <c r="T19" s="433"/>
      <c r="U19" s="433"/>
    </row>
    <row r="20" spans="1:21" s="234" customFormat="1" ht="15" customHeight="1" thickBot="1" x14ac:dyDescent="0.4">
      <c r="A20" s="833"/>
      <c r="B20" s="336"/>
      <c r="C20" s="546" t="str">
        <f>'6.2'!C23:F23</f>
        <v>Instrument (Messgerät) oder CAD-Ausrüstung</v>
      </c>
      <c r="D20" s="547"/>
      <c r="E20" s="547"/>
      <c r="F20" s="548"/>
      <c r="G20" s="429" t="str">
        <f>'6.2'!G23</f>
        <v>Instr/CAD</v>
      </c>
      <c r="H20" s="431">
        <f>'6.2'!H23</f>
        <v>0</v>
      </c>
      <c r="I20" s="336"/>
      <c r="L20"/>
      <c r="M20"/>
      <c r="N20" s="433"/>
      <c r="O20" s="433"/>
      <c r="P20" s="433"/>
      <c r="Q20" s="433"/>
      <c r="R20" s="433"/>
      <c r="S20" s="433"/>
      <c r="T20" s="433"/>
      <c r="U20" s="433"/>
    </row>
    <row r="21" spans="1:21" s="234" customFormat="1" ht="15" customHeight="1" thickBot="1" x14ac:dyDescent="0.4">
      <c r="A21" s="833"/>
      <c r="B21" s="336"/>
      <c r="C21" s="546" t="str">
        <f>'6.2'!C24:F24</f>
        <v>Aufschlag für höherwertiges Instrument</v>
      </c>
      <c r="D21" s="547"/>
      <c r="E21" s="547"/>
      <c r="F21" s="548"/>
      <c r="G21" s="429" t="str">
        <f>'6.2'!G24</f>
        <v>Instr+</v>
      </c>
      <c r="H21" s="431">
        <f>'6.2'!H24</f>
        <v>0</v>
      </c>
      <c r="I21" s="336"/>
      <c r="L21"/>
      <c r="M21"/>
      <c r="N21" s="433"/>
      <c r="O21" s="433"/>
      <c r="P21" s="433"/>
      <c r="Q21" s="433"/>
      <c r="R21" s="433"/>
      <c r="S21" s="433"/>
      <c r="T21" s="433"/>
      <c r="U21" s="433"/>
    </row>
    <row r="22" spans="1:21" s="234" customFormat="1" ht="15" customHeight="1" thickBot="1" x14ac:dyDescent="0.4">
      <c r="A22" s="833"/>
      <c r="B22" s="336"/>
      <c r="C22" s="546" t="str">
        <f>'6.2'!C25:F25</f>
        <v>Fahrtkosten Auto</v>
      </c>
      <c r="D22" s="547"/>
      <c r="E22" s="547"/>
      <c r="F22" s="548"/>
      <c r="G22" s="429" t="str">
        <f>'6.2'!G25</f>
        <v>km-Auto</v>
      </c>
      <c r="H22" s="431">
        <f>'6.2'!H25</f>
        <v>0.5</v>
      </c>
      <c r="I22" s="336"/>
      <c r="L22"/>
      <c r="M22"/>
      <c r="N22" s="433"/>
      <c r="O22" s="433"/>
      <c r="P22" s="433"/>
      <c r="Q22" s="433"/>
      <c r="R22" s="433"/>
      <c r="S22" s="433"/>
      <c r="T22" s="433"/>
      <c r="U22" s="433"/>
    </row>
    <row r="23" spans="1:21" s="234" customFormat="1" ht="15" customHeight="1" thickBot="1" x14ac:dyDescent="0.4">
      <c r="A23" s="833"/>
      <c r="B23" s="336"/>
      <c r="C23" s="546" t="str">
        <f>'6.2'!C26:F26</f>
        <v>Fahrtkosten Messfahrzeug inkl. Instrumentenausstattung</v>
      </c>
      <c r="D23" s="547"/>
      <c r="E23" s="547"/>
      <c r="F23" s="548"/>
      <c r="G23" s="429" t="str">
        <f>'6.2'!G26</f>
        <v>km-Bus</v>
      </c>
      <c r="H23" s="431">
        <f>'6.2'!H26</f>
        <v>0.65</v>
      </c>
      <c r="I23" s="336"/>
      <c r="L23"/>
      <c r="M23"/>
      <c r="N23" s="433"/>
      <c r="O23" s="433"/>
      <c r="P23" s="433"/>
      <c r="Q23" s="433"/>
      <c r="R23" s="433"/>
      <c r="S23" s="433"/>
      <c r="T23" s="433"/>
      <c r="U23" s="433"/>
    </row>
    <row r="24" spans="1:21" s="234" customFormat="1" ht="15" customHeight="1" thickBot="1" x14ac:dyDescent="0.4">
      <c r="A24" s="833"/>
      <c r="B24" s="336"/>
      <c r="C24" s="546" t="str">
        <f>'6.2'!C27:F27</f>
        <v>Barauslagen</v>
      </c>
      <c r="D24" s="547"/>
      <c r="E24" s="547"/>
      <c r="F24" s="548"/>
      <c r="G24" s="429" t="str">
        <f>'6.2'!G27</f>
        <v>Bar</v>
      </c>
      <c r="H24" s="431">
        <f>'6.2'!H27</f>
        <v>1</v>
      </c>
      <c r="I24" s="336"/>
      <c r="L24"/>
      <c r="M24"/>
      <c r="N24" s="433"/>
      <c r="O24" s="433"/>
      <c r="P24" s="433"/>
      <c r="Q24" s="433"/>
      <c r="R24" s="433"/>
      <c r="S24" s="433"/>
      <c r="T24" s="433"/>
      <c r="U24" s="433"/>
    </row>
    <row r="25" spans="1:21" s="234" customFormat="1" ht="15" customHeight="1" x14ac:dyDescent="0.35">
      <c r="A25" s="833"/>
      <c r="B25" s="336"/>
      <c r="C25" s="336"/>
      <c r="D25" s="336"/>
      <c r="E25" s="336"/>
      <c r="F25" s="336"/>
      <c r="G25" s="336"/>
      <c r="H25" s="336"/>
      <c r="I25" s="336"/>
      <c r="K25" s="288"/>
      <c r="L25"/>
      <c r="M25"/>
      <c r="N25" s="433"/>
      <c r="O25" s="433"/>
      <c r="P25" s="433"/>
      <c r="Q25" s="433"/>
      <c r="R25" s="433"/>
      <c r="S25" s="433"/>
      <c r="T25" s="433"/>
      <c r="U25" s="433"/>
    </row>
    <row r="26" spans="1:21" s="234" customFormat="1" ht="15" customHeight="1" thickBot="1" x14ac:dyDescent="0.4">
      <c r="A26" s="833"/>
      <c r="B26" s="336"/>
      <c r="C26" s="336" t="s">
        <v>618</v>
      </c>
      <c r="D26" s="336" t="s">
        <v>619</v>
      </c>
      <c r="E26" s="437" t="s">
        <v>617</v>
      </c>
      <c r="F26" s="437" t="s">
        <v>620</v>
      </c>
      <c r="G26" s="437" t="s">
        <v>601</v>
      </c>
      <c r="H26" s="437" t="s">
        <v>616</v>
      </c>
      <c r="I26" s="336"/>
      <c r="K26" s="433"/>
      <c r="L26"/>
      <c r="M26"/>
      <c r="N26" s="433"/>
      <c r="O26" s="433"/>
      <c r="P26" s="433"/>
    </row>
    <row r="27" spans="1:21" ht="16" thickBot="1" x14ac:dyDescent="0.4">
      <c r="A27" s="833"/>
      <c r="B27" s="63"/>
      <c r="C27" s="445"/>
      <c r="D27" s="449"/>
      <c r="E27" s="430"/>
      <c r="F27" s="430"/>
      <c r="G27" s="448" t="str">
        <f>IF(E27&lt;&gt;"",VLOOKUP(E27,G$5:H$18,2,FALSE),"")</f>
        <v/>
      </c>
      <c r="H27" s="448" t="str">
        <f t="shared" ref="H27:H46" si="0">IF(AND(E27&lt;&gt;"",F27&lt;&gt;"",F27&gt;0),F27*G27,"")</f>
        <v/>
      </c>
      <c r="I27" s="64"/>
      <c r="K27" s="254"/>
      <c r="L27" s="254"/>
      <c r="N27" s="254"/>
      <c r="O27" s="254"/>
      <c r="P27" s="254"/>
    </row>
    <row r="28" spans="1:21" ht="16" thickBot="1" x14ac:dyDescent="0.4">
      <c r="A28" s="833"/>
      <c r="B28" s="330"/>
      <c r="C28" s="445"/>
      <c r="D28" s="449"/>
      <c r="E28" s="430"/>
      <c r="F28" s="430"/>
      <c r="G28" s="448" t="str">
        <f t="shared" ref="G28:G46" si="1">IF(E28&lt;&gt;"",VLOOKUP(E28,G$5:H$18,2,FALSE),"")</f>
        <v/>
      </c>
      <c r="H28" s="448" t="str">
        <f t="shared" si="0"/>
        <v/>
      </c>
      <c r="I28" s="330"/>
      <c r="K28" s="254"/>
      <c r="L28" s="254"/>
      <c r="N28" s="254"/>
      <c r="O28" s="254"/>
      <c r="P28" s="254"/>
    </row>
    <row r="29" spans="1:21" ht="16" thickBot="1" x14ac:dyDescent="0.4">
      <c r="A29" s="833"/>
      <c r="B29" s="330"/>
      <c r="C29" s="445"/>
      <c r="D29" s="449"/>
      <c r="E29" s="430"/>
      <c r="F29" s="430"/>
      <c r="G29" s="448" t="str">
        <f t="shared" si="1"/>
        <v/>
      </c>
      <c r="H29" s="448" t="str">
        <f t="shared" si="0"/>
        <v/>
      </c>
      <c r="I29" s="330"/>
      <c r="K29" s="254"/>
      <c r="L29" s="254"/>
      <c r="M29" s="332"/>
      <c r="N29" s="254"/>
      <c r="O29" s="254"/>
      <c r="P29" s="254"/>
    </row>
    <row r="30" spans="1:21" ht="16" thickBot="1" x14ac:dyDescent="0.4">
      <c r="A30" s="833"/>
      <c r="B30" s="330"/>
      <c r="C30" s="445"/>
      <c r="D30" s="449"/>
      <c r="E30" s="430"/>
      <c r="F30" s="430"/>
      <c r="G30" s="448" t="str">
        <f t="shared" si="1"/>
        <v/>
      </c>
      <c r="H30" s="448" t="str">
        <f t="shared" si="0"/>
        <v/>
      </c>
      <c r="I30" s="330"/>
      <c r="K30" s="254"/>
      <c r="L30" s="472"/>
      <c r="M30" s="332"/>
      <c r="N30" s="254"/>
      <c r="O30" s="254"/>
      <c r="P30" s="254"/>
    </row>
    <row r="31" spans="1:21" ht="16" thickBot="1" x14ac:dyDescent="0.4">
      <c r="A31" s="833"/>
      <c r="B31" s="330"/>
      <c r="C31" s="445"/>
      <c r="D31" s="449"/>
      <c r="E31" s="430"/>
      <c r="F31" s="430"/>
      <c r="G31" s="448" t="str">
        <f t="shared" si="1"/>
        <v/>
      </c>
      <c r="H31" s="448" t="str">
        <f t="shared" si="0"/>
        <v/>
      </c>
      <c r="I31" s="330"/>
      <c r="K31" s="254"/>
      <c r="L31" s="254"/>
      <c r="M31" s="332"/>
      <c r="N31" s="254"/>
      <c r="O31" s="254"/>
      <c r="P31" s="254"/>
    </row>
    <row r="32" spans="1:21" ht="16" thickBot="1" x14ac:dyDescent="0.4">
      <c r="A32" s="833"/>
      <c r="B32" s="330"/>
      <c r="C32" s="445"/>
      <c r="D32" s="449"/>
      <c r="E32" s="430"/>
      <c r="F32" s="430"/>
      <c r="G32" s="448" t="str">
        <f t="shared" si="1"/>
        <v/>
      </c>
      <c r="H32" s="448" t="str">
        <f t="shared" si="0"/>
        <v/>
      </c>
      <c r="I32" s="330"/>
      <c r="K32" s="254"/>
      <c r="L32" s="254"/>
      <c r="M32" s="332"/>
      <c r="N32" s="254"/>
      <c r="O32" s="254"/>
      <c r="P32" s="254"/>
    </row>
    <row r="33" spans="1:16" ht="16" thickBot="1" x14ac:dyDescent="0.4">
      <c r="A33" s="833"/>
      <c r="B33" s="330"/>
      <c r="C33" s="445"/>
      <c r="D33" s="449"/>
      <c r="E33" s="430"/>
      <c r="F33" s="430"/>
      <c r="G33" s="448" t="str">
        <f t="shared" si="1"/>
        <v/>
      </c>
      <c r="H33" s="448" t="str">
        <f t="shared" si="0"/>
        <v/>
      </c>
      <c r="I33" s="330"/>
      <c r="K33" s="254"/>
      <c r="L33" s="254"/>
      <c r="M33" s="332"/>
      <c r="N33" s="254"/>
      <c r="O33" s="254"/>
      <c r="P33" s="254"/>
    </row>
    <row r="34" spans="1:16" ht="16" thickBot="1" x14ac:dyDescent="0.4">
      <c r="A34" s="833"/>
      <c r="B34" s="330"/>
      <c r="C34" s="445"/>
      <c r="D34" s="449"/>
      <c r="E34" s="430"/>
      <c r="F34" s="430"/>
      <c r="G34" s="448" t="str">
        <f t="shared" si="1"/>
        <v/>
      </c>
      <c r="H34" s="448" t="str">
        <f t="shared" si="0"/>
        <v/>
      </c>
      <c r="I34" s="330"/>
      <c r="K34" s="254"/>
      <c r="L34" s="254"/>
      <c r="M34" s="332"/>
      <c r="N34" s="254"/>
      <c r="O34" s="254"/>
      <c r="P34" s="254"/>
    </row>
    <row r="35" spans="1:16" ht="16" thickBot="1" x14ac:dyDescent="0.4">
      <c r="A35" s="833"/>
      <c r="B35" s="330"/>
      <c r="C35" s="445"/>
      <c r="D35" s="449"/>
      <c r="E35" s="430"/>
      <c r="F35" s="430"/>
      <c r="G35" s="448" t="str">
        <f t="shared" si="1"/>
        <v/>
      </c>
      <c r="H35" s="448" t="str">
        <f t="shared" si="0"/>
        <v/>
      </c>
      <c r="I35" s="330"/>
      <c r="K35" s="254"/>
      <c r="L35" s="254"/>
      <c r="M35" s="332"/>
      <c r="N35" s="254"/>
      <c r="O35" s="254"/>
      <c r="P35" s="254"/>
    </row>
    <row r="36" spans="1:16" ht="16" thickBot="1" x14ac:dyDescent="0.4">
      <c r="A36" s="833"/>
      <c r="B36" s="330"/>
      <c r="C36" s="445"/>
      <c r="D36" s="449"/>
      <c r="E36" s="430"/>
      <c r="F36" s="430"/>
      <c r="G36" s="448" t="str">
        <f t="shared" si="1"/>
        <v/>
      </c>
      <c r="H36" s="448" t="str">
        <f t="shared" si="0"/>
        <v/>
      </c>
      <c r="I36" s="330"/>
      <c r="K36" s="254"/>
      <c r="L36" s="254"/>
      <c r="M36" s="332"/>
      <c r="N36" s="254"/>
      <c r="O36" s="254"/>
      <c r="P36" s="254"/>
    </row>
    <row r="37" spans="1:16" ht="16" thickBot="1" x14ac:dyDescent="0.4">
      <c r="A37" s="833"/>
      <c r="B37" s="330"/>
      <c r="C37" s="445"/>
      <c r="D37" s="449"/>
      <c r="E37" s="430"/>
      <c r="F37" s="430"/>
      <c r="G37" s="448" t="str">
        <f t="shared" si="1"/>
        <v/>
      </c>
      <c r="H37" s="448" t="str">
        <f t="shared" si="0"/>
        <v/>
      </c>
      <c r="I37" s="330"/>
      <c r="K37" s="254"/>
      <c r="L37" s="254"/>
      <c r="M37" s="332"/>
      <c r="N37" s="254"/>
      <c r="O37" s="254"/>
      <c r="P37" s="254"/>
    </row>
    <row r="38" spans="1:16" ht="16" thickBot="1" x14ac:dyDescent="0.4">
      <c r="A38" s="833"/>
      <c r="B38" s="330"/>
      <c r="C38" s="445"/>
      <c r="D38" s="449"/>
      <c r="E38" s="430"/>
      <c r="F38" s="430"/>
      <c r="G38" s="448" t="str">
        <f t="shared" si="1"/>
        <v/>
      </c>
      <c r="H38" s="448" t="str">
        <f t="shared" si="0"/>
        <v/>
      </c>
      <c r="I38" s="330"/>
      <c r="K38" s="254"/>
      <c r="L38" s="254"/>
      <c r="M38" s="332"/>
      <c r="N38" s="254"/>
      <c r="O38" s="254"/>
      <c r="P38" s="254"/>
    </row>
    <row r="39" spans="1:16" ht="16" thickBot="1" x14ac:dyDescent="0.4">
      <c r="A39" s="833"/>
      <c r="B39" s="330"/>
      <c r="C39" s="445"/>
      <c r="D39" s="449"/>
      <c r="E39" s="430"/>
      <c r="F39" s="430"/>
      <c r="G39" s="448" t="str">
        <f t="shared" si="1"/>
        <v/>
      </c>
      <c r="H39" s="448" t="str">
        <f t="shared" si="0"/>
        <v/>
      </c>
      <c r="I39" s="330"/>
      <c r="K39" s="254"/>
      <c r="L39" s="254"/>
      <c r="M39" s="332"/>
      <c r="N39" s="254"/>
      <c r="O39" s="254"/>
      <c r="P39" s="254"/>
    </row>
    <row r="40" spans="1:16" ht="16" thickBot="1" x14ac:dyDescent="0.4">
      <c r="A40" s="833"/>
      <c r="B40" s="330"/>
      <c r="C40" s="445"/>
      <c r="D40" s="449"/>
      <c r="E40" s="430"/>
      <c r="F40" s="430"/>
      <c r="G40" s="448" t="str">
        <f t="shared" si="1"/>
        <v/>
      </c>
      <c r="H40" s="448" t="str">
        <f t="shared" si="0"/>
        <v/>
      </c>
      <c r="I40" s="330"/>
      <c r="K40" s="254"/>
      <c r="L40" s="254"/>
      <c r="M40" s="332"/>
      <c r="N40" s="254"/>
      <c r="O40" s="254"/>
      <c r="P40" s="254"/>
    </row>
    <row r="41" spans="1:16" ht="16" thickBot="1" x14ac:dyDescent="0.4">
      <c r="A41" s="833"/>
      <c r="B41" s="330"/>
      <c r="C41" s="445"/>
      <c r="D41" s="449"/>
      <c r="E41" s="430"/>
      <c r="F41" s="430"/>
      <c r="G41" s="448" t="str">
        <f t="shared" si="1"/>
        <v/>
      </c>
      <c r="H41" s="448" t="str">
        <f t="shared" si="0"/>
        <v/>
      </c>
      <c r="I41" s="330"/>
      <c r="K41" s="254"/>
      <c r="L41" s="254"/>
      <c r="M41" s="332"/>
      <c r="N41" s="254"/>
      <c r="O41" s="254"/>
      <c r="P41" s="254"/>
    </row>
    <row r="42" spans="1:16" ht="16" thickBot="1" x14ac:dyDescent="0.4">
      <c r="A42" s="833"/>
      <c r="B42" s="330"/>
      <c r="C42" s="445"/>
      <c r="D42" s="449"/>
      <c r="E42" s="430"/>
      <c r="F42" s="430"/>
      <c r="G42" s="448" t="str">
        <f t="shared" si="1"/>
        <v/>
      </c>
      <c r="H42" s="448" t="str">
        <f t="shared" si="0"/>
        <v/>
      </c>
      <c r="I42" s="330"/>
      <c r="K42" s="254"/>
      <c r="L42" s="254"/>
      <c r="M42" s="332"/>
      <c r="N42" s="254"/>
      <c r="O42" s="254"/>
      <c r="P42" s="254"/>
    </row>
    <row r="43" spans="1:16" ht="16" thickBot="1" x14ac:dyDescent="0.4">
      <c r="A43" s="833"/>
      <c r="B43" s="330"/>
      <c r="C43" s="445"/>
      <c r="D43" s="449"/>
      <c r="E43" s="430"/>
      <c r="F43" s="430"/>
      <c r="G43" s="448" t="str">
        <f t="shared" si="1"/>
        <v/>
      </c>
      <c r="H43" s="448" t="str">
        <f t="shared" si="0"/>
        <v/>
      </c>
      <c r="I43" s="330"/>
      <c r="K43" s="254"/>
      <c r="L43" s="254"/>
      <c r="M43" s="332"/>
      <c r="N43" s="254"/>
      <c r="O43" s="254"/>
      <c r="P43" s="254"/>
    </row>
    <row r="44" spans="1:16" ht="16" thickBot="1" x14ac:dyDescent="0.4">
      <c r="A44" s="833"/>
      <c r="B44" s="330"/>
      <c r="C44" s="445"/>
      <c r="D44" s="449"/>
      <c r="E44" s="430"/>
      <c r="F44" s="430"/>
      <c r="G44" s="448" t="str">
        <f t="shared" si="1"/>
        <v/>
      </c>
      <c r="H44" s="448" t="str">
        <f t="shared" si="0"/>
        <v/>
      </c>
      <c r="I44" s="330"/>
      <c r="K44" s="254"/>
      <c r="L44" s="254"/>
      <c r="M44" s="332"/>
      <c r="N44" s="254"/>
      <c r="O44" s="254"/>
      <c r="P44" s="254"/>
    </row>
    <row r="45" spans="1:16" ht="16" thickBot="1" x14ac:dyDescent="0.4">
      <c r="A45" s="833"/>
      <c r="B45" s="330"/>
      <c r="C45" s="445"/>
      <c r="D45" s="449"/>
      <c r="E45" s="430"/>
      <c r="F45" s="430"/>
      <c r="G45" s="448" t="str">
        <f t="shared" si="1"/>
        <v/>
      </c>
      <c r="H45" s="448" t="str">
        <f t="shared" si="0"/>
        <v/>
      </c>
      <c r="I45" s="330"/>
      <c r="K45" s="254"/>
      <c r="L45" s="254"/>
      <c r="M45" s="332"/>
      <c r="N45" s="254"/>
      <c r="O45" s="254"/>
      <c r="P45" s="254"/>
    </row>
    <row r="46" spans="1:16" ht="16" thickBot="1" x14ac:dyDescent="0.4">
      <c r="A46" s="833"/>
      <c r="B46" s="330"/>
      <c r="C46" s="445"/>
      <c r="D46" s="449"/>
      <c r="E46" s="430"/>
      <c r="F46" s="430"/>
      <c r="G46" s="448" t="str">
        <f t="shared" si="1"/>
        <v/>
      </c>
      <c r="H46" s="448" t="str">
        <f t="shared" si="0"/>
        <v/>
      </c>
      <c r="I46" s="330"/>
      <c r="K46" s="254"/>
      <c r="L46" s="254"/>
      <c r="M46" s="332"/>
      <c r="N46" s="254"/>
      <c r="O46" s="254"/>
      <c r="P46" s="254"/>
    </row>
    <row r="47" spans="1:16" ht="16" thickBot="1" x14ac:dyDescent="0.4">
      <c r="A47" s="833"/>
      <c r="B47" s="330"/>
      <c r="C47" s="330"/>
      <c r="D47" s="330"/>
      <c r="E47" s="330"/>
      <c r="F47" s="330"/>
      <c r="G47" s="330"/>
      <c r="H47" s="450" t="str">
        <f>IF(VSK&lt;&gt;0, SUM(H27:H46),"")</f>
        <v/>
      </c>
      <c r="I47" s="330"/>
      <c r="K47" s="254"/>
      <c r="L47" s="254"/>
      <c r="M47" s="332"/>
      <c r="N47" s="254"/>
      <c r="O47" s="254"/>
      <c r="P47" s="254"/>
    </row>
    <row r="48" spans="1:16" ht="15.5" x14ac:dyDescent="0.35">
      <c r="A48" s="833"/>
      <c r="B48" s="46"/>
      <c r="C48" s="317"/>
      <c r="D48" s="318"/>
      <c r="E48" s="317"/>
      <c r="F48" s="592" t="s">
        <v>633</v>
      </c>
      <c r="G48" s="317"/>
      <c r="H48" s="319"/>
      <c r="I48" s="47"/>
      <c r="K48" s="254"/>
      <c r="L48" s="254"/>
      <c r="M48" s="332"/>
      <c r="N48" s="254"/>
      <c r="O48" s="254"/>
      <c r="P48" s="254"/>
    </row>
    <row r="49" spans="1:16" ht="15.5" x14ac:dyDescent="0.35">
      <c r="A49" s="833"/>
      <c r="B49" s="46"/>
      <c r="C49" s="47" t="s">
        <v>34</v>
      </c>
      <c r="D49" s="47"/>
      <c r="E49" s="320"/>
      <c r="F49" s="899"/>
      <c r="G49" s="900"/>
      <c r="H49" s="901"/>
      <c r="I49" s="47"/>
      <c r="K49" s="254"/>
      <c r="L49" s="254"/>
      <c r="M49" s="254"/>
      <c r="N49" s="254"/>
      <c r="O49" s="254"/>
      <c r="P49" s="254"/>
    </row>
    <row r="50" spans="1:16" ht="15.5" x14ac:dyDescent="0.35">
      <c r="A50" s="833"/>
      <c r="B50" s="46"/>
      <c r="C50" s="47" t="s">
        <v>722</v>
      </c>
      <c r="D50" s="47"/>
      <c r="E50" s="604"/>
      <c r="F50" s="868"/>
      <c r="G50" s="895"/>
      <c r="H50" s="869"/>
      <c r="I50" s="47"/>
    </row>
    <row r="51" spans="1:16" ht="15.5" x14ac:dyDescent="0.35">
      <c r="A51" s="833"/>
      <c r="B51" s="46"/>
      <c r="C51" s="47"/>
      <c r="D51" s="47"/>
      <c r="E51" s="53"/>
      <c r="F51" s="47"/>
      <c r="G51" s="46"/>
      <c r="H51" s="46"/>
      <c r="I51" s="45"/>
    </row>
    <row r="52" spans="1:16" ht="21" x14ac:dyDescent="0.5">
      <c r="A52" s="833"/>
      <c r="B52" s="45"/>
      <c r="C52" s="54" t="str">
        <f>IF(VSK=0, "UNVOLLSTÄNDIG AUSGEFÜLLT!","")</f>
        <v>UNVOLLSTÄNDIG AUSGEFÜLLT!</v>
      </c>
      <c r="D52" s="45"/>
      <c r="E52" s="438">
        <f>IF(SUM(H27:H46)&gt;0,1,0)</f>
        <v>0</v>
      </c>
      <c r="F52" s="45"/>
      <c r="G52" s="852" t="str">
        <f>IF(VSK&lt;&gt;0, G92,"")</f>
        <v/>
      </c>
      <c r="H52" s="852"/>
      <c r="I52" s="45"/>
      <c r="P52" s="254"/>
    </row>
    <row r="53" spans="1:16" ht="15.5" x14ac:dyDescent="0.35">
      <c r="A53" s="833"/>
      <c r="B53" s="45"/>
      <c r="C53" s="45"/>
      <c r="D53" s="45"/>
      <c r="E53" s="45"/>
      <c r="F53" s="45"/>
      <c r="G53" s="45"/>
      <c r="H53" s="45"/>
      <c r="I53" s="45"/>
    </row>
    <row r="54" spans="1:16" ht="15" customHeight="1" x14ac:dyDescent="0.35">
      <c r="A54" s="830" t="s">
        <v>66</v>
      </c>
      <c r="I54" s="577" t="str">
        <f ca="1">IF(VLOOKUP(B32,CHOOSE({5,4,3,2,1},Gesamt!L32:L65,Gesamt!M32:M65,Gesamt!N32:N65,Gesamt!O32:O65,Gesamt!P32:P65,),4,0)&gt;0,CONCATENATE("Pos. ",VLOOKUP(B32,CHOOSE({5,4,3,2,1},Gesamt!L32:L65,Gesamt!M32:M65,Gesamt!N32:N65,Gesamt!O32:O65,Gesamt!P32:P65,),VLOOKUP(Gesamt!C19,Gesamt!L5:N7,3,0),0)),"")</f>
        <v/>
      </c>
    </row>
    <row r="55" spans="1:16" x14ac:dyDescent="0.35">
      <c r="A55" s="830"/>
      <c r="B55" s="831" t="str">
        <f>CONCATENATE(Gesamt!C2, ": ", Gesamt!E2)</f>
        <v xml:space="preserve">Projekt: </v>
      </c>
      <c r="C55" s="831"/>
      <c r="D55" s="831"/>
      <c r="E55" s="831"/>
      <c r="F55" s="831"/>
      <c r="G55" s="831"/>
      <c r="H55" s="831"/>
      <c r="I55" s="831"/>
    </row>
    <row r="56" spans="1:16" x14ac:dyDescent="0.35">
      <c r="A56" s="830"/>
      <c r="B56" s="832" t="str">
        <f>CONCATENATE(Gesamt!C4, ": ", Gesamt!E4, IF(Gesamt!E5&lt;&gt;""," - ",""), IF(Gesamt!E5&lt;&gt;"",Gesamt!E5,""), IF(Gesamt!E6&lt;&gt;""," - GZ. ",""), IF(Gesamt!E6&lt;&gt;"",Gesamt!E6,""),)</f>
        <v xml:space="preserve">Auftraggeber: </v>
      </c>
      <c r="C56" s="832"/>
      <c r="D56" s="832"/>
      <c r="E56" s="832"/>
      <c r="F56" s="832"/>
      <c r="G56" s="832"/>
      <c r="H56" s="832"/>
      <c r="I56" s="832"/>
    </row>
    <row r="57" spans="1:16" x14ac:dyDescent="0.35">
      <c r="A57" s="830"/>
      <c r="B57" s="832" t="str">
        <f>CONCATENATE(Gesamt!C9, ": ",Gesamt!E9,  IF(Gesamt!C10&lt;&gt;""," - ",""), IF(Gesamt!C10&lt;&gt;"",Gesamt!E10,""), IF(Gesamt!C11&lt;&gt;""," - GZ. ",""), IF(Gesamt!C11&lt;&gt;"",Gesamt!E11,""), )</f>
        <v xml:space="preserve">Bieter:  -  - GZ. </v>
      </c>
      <c r="C57" s="832"/>
      <c r="D57" s="832"/>
      <c r="E57" s="832"/>
      <c r="F57" s="832"/>
      <c r="G57" s="832"/>
      <c r="H57" s="832"/>
      <c r="I57" s="832"/>
    </row>
    <row r="58" spans="1:16" x14ac:dyDescent="0.35">
      <c r="A58" s="830"/>
      <c r="B58" s="832" t="s">
        <v>41</v>
      </c>
      <c r="C58" s="832"/>
      <c r="D58" s="832"/>
      <c r="E58" s="832"/>
      <c r="F58" s="832"/>
      <c r="G58" s="832"/>
      <c r="H58" s="832"/>
      <c r="I58" s="832"/>
    </row>
    <row r="59" spans="1:16" x14ac:dyDescent="0.35">
      <c r="A59" s="830"/>
    </row>
    <row r="60" spans="1:16" ht="18.5" x14ac:dyDescent="0.35">
      <c r="A60" s="830"/>
      <c r="B60" s="843" t="str">
        <f>C2</f>
        <v>Punktbestimmung durch kinematische GNSS-Messung</v>
      </c>
      <c r="C60" s="843"/>
      <c r="D60" s="843"/>
      <c r="E60" s="843"/>
      <c r="F60" s="843"/>
      <c r="G60" s="843"/>
      <c r="H60" s="843"/>
      <c r="I60" s="843"/>
    </row>
    <row r="61" spans="1:16" x14ac:dyDescent="0.35">
      <c r="A61" s="830"/>
    </row>
    <row r="62" spans="1:16" x14ac:dyDescent="0.35">
      <c r="A62" s="830"/>
      <c r="C62" t="str">
        <f>CONCATENATE("LB_VG, Pos. 4.5, ",C2)</f>
        <v>LB_VG, Pos. 4.5, Punktbestimmung durch kinematische GNSS-Messung</v>
      </c>
    </row>
    <row r="63" spans="1:16" x14ac:dyDescent="0.35">
      <c r="A63" s="830"/>
    </row>
    <row r="64" spans="1:16" x14ac:dyDescent="0.35">
      <c r="A64" s="830"/>
      <c r="C64" t="s">
        <v>959</v>
      </c>
      <c r="E64" s="243">
        <f>IS</f>
        <v>0</v>
      </c>
    </row>
    <row r="65" spans="1:15" x14ac:dyDescent="0.35">
      <c r="A65" s="830"/>
      <c r="C65" s="15"/>
    </row>
    <row r="66" spans="1:15" x14ac:dyDescent="0.35">
      <c r="A66" s="830"/>
      <c r="C66" s="442" t="s">
        <v>618</v>
      </c>
      <c r="D66" s="442" t="s">
        <v>619</v>
      </c>
      <c r="E66" s="443" t="s">
        <v>617</v>
      </c>
      <c r="F66" s="443" t="s">
        <v>620</v>
      </c>
      <c r="G66" s="443" t="s">
        <v>601</v>
      </c>
      <c r="H66" s="443" t="s">
        <v>616</v>
      </c>
    </row>
    <row r="67" spans="1:15" x14ac:dyDescent="0.35">
      <c r="A67" s="830"/>
      <c r="C67" s="446" t="str">
        <f>IF(C27&lt;&gt;"",C27,"")</f>
        <v/>
      </c>
      <c r="D67" s="440" t="str">
        <f t="shared" ref="D67:H67" si="2">IF(D27&lt;&gt;"",D27,"")</f>
        <v/>
      </c>
      <c r="E67" s="439" t="str">
        <f t="shared" si="2"/>
        <v/>
      </c>
      <c r="F67" s="439" t="str">
        <f t="shared" si="2"/>
        <v/>
      </c>
      <c r="G67" s="444" t="str">
        <f t="shared" si="2"/>
        <v/>
      </c>
      <c r="H67" s="441" t="str">
        <f t="shared" si="2"/>
        <v/>
      </c>
      <c r="K67" s="835" t="s">
        <v>626</v>
      </c>
      <c r="L67" s="879"/>
      <c r="M67" s="879"/>
      <c r="N67" s="879"/>
      <c r="O67" s="880"/>
    </row>
    <row r="68" spans="1:15" x14ac:dyDescent="0.35">
      <c r="A68" s="830"/>
      <c r="C68" s="446" t="str">
        <f t="shared" ref="C68:H83" si="3">IF(C28&lt;&gt;"",C28,"")</f>
        <v/>
      </c>
      <c r="D68" s="440" t="str">
        <f t="shared" si="3"/>
        <v/>
      </c>
      <c r="E68" s="439" t="str">
        <f t="shared" si="3"/>
        <v/>
      </c>
      <c r="F68" s="439" t="str">
        <f t="shared" si="3"/>
        <v/>
      </c>
      <c r="G68" s="444" t="str">
        <f t="shared" si="3"/>
        <v/>
      </c>
      <c r="H68" s="441" t="str">
        <f t="shared" si="3"/>
        <v/>
      </c>
      <c r="K68" s="881"/>
      <c r="L68" s="882"/>
      <c r="M68" s="882"/>
      <c r="N68" s="882"/>
      <c r="O68" s="883"/>
    </row>
    <row r="69" spans="1:15" x14ac:dyDescent="0.35">
      <c r="A69" s="830"/>
      <c r="C69" s="446" t="str">
        <f t="shared" si="3"/>
        <v/>
      </c>
      <c r="D69" s="440" t="str">
        <f t="shared" si="3"/>
        <v/>
      </c>
      <c r="E69" s="439" t="str">
        <f t="shared" si="3"/>
        <v/>
      </c>
      <c r="F69" s="439" t="str">
        <f t="shared" si="3"/>
        <v/>
      </c>
      <c r="G69" s="444" t="str">
        <f t="shared" si="3"/>
        <v/>
      </c>
      <c r="H69" s="441" t="str">
        <f t="shared" si="3"/>
        <v/>
      </c>
      <c r="K69" s="881"/>
      <c r="L69" s="882"/>
      <c r="M69" s="882"/>
      <c r="N69" s="882"/>
      <c r="O69" s="883"/>
    </row>
    <row r="70" spans="1:15" x14ac:dyDescent="0.35">
      <c r="A70" s="830"/>
      <c r="C70" s="446" t="str">
        <f t="shared" si="3"/>
        <v/>
      </c>
      <c r="D70" s="440" t="str">
        <f t="shared" si="3"/>
        <v/>
      </c>
      <c r="E70" s="439" t="str">
        <f t="shared" si="3"/>
        <v/>
      </c>
      <c r="F70" s="439" t="str">
        <f t="shared" si="3"/>
        <v/>
      </c>
      <c r="G70" s="444" t="str">
        <f t="shared" si="3"/>
        <v/>
      </c>
      <c r="H70" s="441" t="str">
        <f t="shared" si="3"/>
        <v/>
      </c>
      <c r="K70" s="881"/>
      <c r="L70" s="882"/>
      <c r="M70" s="882"/>
      <c r="N70" s="882"/>
      <c r="O70" s="883"/>
    </row>
    <row r="71" spans="1:15" x14ac:dyDescent="0.35">
      <c r="A71" s="830"/>
      <c r="C71" s="446" t="str">
        <f t="shared" si="3"/>
        <v/>
      </c>
      <c r="D71" s="440" t="str">
        <f t="shared" si="3"/>
        <v/>
      </c>
      <c r="E71" s="439" t="str">
        <f t="shared" si="3"/>
        <v/>
      </c>
      <c r="F71" s="439" t="str">
        <f t="shared" si="3"/>
        <v/>
      </c>
      <c r="G71" s="444" t="str">
        <f t="shared" si="3"/>
        <v/>
      </c>
      <c r="H71" s="441" t="str">
        <f t="shared" si="3"/>
        <v/>
      </c>
      <c r="K71" s="884"/>
      <c r="L71" s="885"/>
      <c r="M71" s="885"/>
      <c r="N71" s="885"/>
      <c r="O71" s="886"/>
    </row>
    <row r="72" spans="1:15" x14ac:dyDescent="0.35">
      <c r="A72" s="830"/>
      <c r="C72" s="446" t="str">
        <f t="shared" si="3"/>
        <v/>
      </c>
      <c r="D72" s="440" t="str">
        <f t="shared" si="3"/>
        <v/>
      </c>
      <c r="E72" s="439" t="str">
        <f t="shared" si="3"/>
        <v/>
      </c>
      <c r="F72" s="439" t="str">
        <f t="shared" si="3"/>
        <v/>
      </c>
      <c r="G72" s="444" t="str">
        <f t="shared" si="3"/>
        <v/>
      </c>
      <c r="H72" s="441" t="str">
        <f t="shared" si="3"/>
        <v/>
      </c>
    </row>
    <row r="73" spans="1:15" x14ac:dyDescent="0.35">
      <c r="A73" s="830"/>
      <c r="C73" s="446" t="str">
        <f t="shared" si="3"/>
        <v/>
      </c>
      <c r="D73" s="440" t="str">
        <f t="shared" si="3"/>
        <v/>
      </c>
      <c r="E73" s="439" t="str">
        <f t="shared" si="3"/>
        <v/>
      </c>
      <c r="F73" s="439" t="str">
        <f t="shared" si="3"/>
        <v/>
      </c>
      <c r="G73" s="444" t="str">
        <f t="shared" si="3"/>
        <v/>
      </c>
      <c r="H73" s="441" t="str">
        <f t="shared" si="3"/>
        <v/>
      </c>
    </row>
    <row r="74" spans="1:15" x14ac:dyDescent="0.35">
      <c r="A74" s="830"/>
      <c r="C74" s="446" t="str">
        <f t="shared" si="3"/>
        <v/>
      </c>
      <c r="D74" s="440" t="str">
        <f t="shared" si="3"/>
        <v/>
      </c>
      <c r="E74" s="439" t="str">
        <f t="shared" si="3"/>
        <v/>
      </c>
      <c r="F74" s="439" t="str">
        <f t="shared" si="3"/>
        <v/>
      </c>
      <c r="G74" s="444" t="str">
        <f t="shared" si="3"/>
        <v/>
      </c>
      <c r="H74" s="441" t="str">
        <f t="shared" si="3"/>
        <v/>
      </c>
    </row>
    <row r="75" spans="1:15" x14ac:dyDescent="0.35">
      <c r="A75" s="830"/>
      <c r="C75" s="446" t="str">
        <f t="shared" si="3"/>
        <v/>
      </c>
      <c r="D75" s="440" t="str">
        <f t="shared" si="3"/>
        <v/>
      </c>
      <c r="E75" s="439" t="str">
        <f t="shared" si="3"/>
        <v/>
      </c>
      <c r="F75" s="439" t="str">
        <f t="shared" si="3"/>
        <v/>
      </c>
      <c r="G75" s="444" t="str">
        <f t="shared" si="3"/>
        <v/>
      </c>
      <c r="H75" s="441" t="str">
        <f t="shared" si="3"/>
        <v/>
      </c>
    </row>
    <row r="76" spans="1:15" x14ac:dyDescent="0.35">
      <c r="A76" s="830"/>
      <c r="C76" s="446" t="str">
        <f t="shared" si="3"/>
        <v/>
      </c>
      <c r="D76" s="440" t="str">
        <f t="shared" si="3"/>
        <v/>
      </c>
      <c r="E76" s="439" t="str">
        <f t="shared" si="3"/>
        <v/>
      </c>
      <c r="F76" s="439" t="str">
        <f t="shared" si="3"/>
        <v/>
      </c>
      <c r="G76" s="444" t="str">
        <f t="shared" si="3"/>
        <v/>
      </c>
      <c r="H76" s="441" t="str">
        <f t="shared" si="3"/>
        <v/>
      </c>
    </row>
    <row r="77" spans="1:15" x14ac:dyDescent="0.35">
      <c r="A77" s="830"/>
      <c r="C77" s="446" t="str">
        <f t="shared" si="3"/>
        <v/>
      </c>
      <c r="D77" s="440" t="str">
        <f t="shared" si="3"/>
        <v/>
      </c>
      <c r="E77" s="439" t="str">
        <f t="shared" si="3"/>
        <v/>
      </c>
      <c r="F77" s="439" t="str">
        <f t="shared" si="3"/>
        <v/>
      </c>
      <c r="G77" s="444" t="str">
        <f t="shared" si="3"/>
        <v/>
      </c>
      <c r="H77" s="441" t="str">
        <f t="shared" si="3"/>
        <v/>
      </c>
    </row>
    <row r="78" spans="1:15" x14ac:dyDescent="0.35">
      <c r="A78" s="830"/>
      <c r="C78" s="446" t="str">
        <f t="shared" si="3"/>
        <v/>
      </c>
      <c r="D78" s="440" t="str">
        <f t="shared" si="3"/>
        <v/>
      </c>
      <c r="E78" s="439" t="str">
        <f t="shared" si="3"/>
        <v/>
      </c>
      <c r="F78" s="439" t="str">
        <f t="shared" si="3"/>
        <v/>
      </c>
      <c r="G78" s="444" t="str">
        <f t="shared" si="3"/>
        <v/>
      </c>
      <c r="H78" s="441" t="str">
        <f t="shared" si="3"/>
        <v/>
      </c>
    </row>
    <row r="79" spans="1:15" x14ac:dyDescent="0.35">
      <c r="A79" s="830"/>
      <c r="C79" s="446" t="str">
        <f t="shared" si="3"/>
        <v/>
      </c>
      <c r="D79" s="440" t="str">
        <f t="shared" si="3"/>
        <v/>
      </c>
      <c r="E79" s="439" t="str">
        <f t="shared" si="3"/>
        <v/>
      </c>
      <c r="F79" s="439" t="str">
        <f t="shared" si="3"/>
        <v/>
      </c>
      <c r="G79" s="444" t="str">
        <f t="shared" si="3"/>
        <v/>
      </c>
      <c r="H79" s="441" t="str">
        <f t="shared" si="3"/>
        <v/>
      </c>
    </row>
    <row r="80" spans="1:15" x14ac:dyDescent="0.35">
      <c r="A80" s="830"/>
      <c r="C80" s="446" t="str">
        <f t="shared" si="3"/>
        <v/>
      </c>
      <c r="D80" s="440" t="str">
        <f t="shared" si="3"/>
        <v/>
      </c>
      <c r="E80" s="439" t="str">
        <f t="shared" si="3"/>
        <v/>
      </c>
      <c r="F80" s="439" t="str">
        <f t="shared" si="3"/>
        <v/>
      </c>
      <c r="G80" s="444" t="str">
        <f t="shared" si="3"/>
        <v/>
      </c>
      <c r="H80" s="441" t="str">
        <f t="shared" si="3"/>
        <v/>
      </c>
    </row>
    <row r="81" spans="1:9" x14ac:dyDescent="0.35">
      <c r="A81" s="830"/>
      <c r="B81" s="3"/>
      <c r="C81" s="446" t="str">
        <f t="shared" si="3"/>
        <v/>
      </c>
      <c r="D81" s="440" t="str">
        <f t="shared" si="3"/>
        <v/>
      </c>
      <c r="E81" s="439" t="str">
        <f t="shared" si="3"/>
        <v/>
      </c>
      <c r="F81" s="439" t="str">
        <f t="shared" si="3"/>
        <v/>
      </c>
      <c r="G81" s="444" t="str">
        <f t="shared" si="3"/>
        <v/>
      </c>
      <c r="H81" s="441" t="str">
        <f t="shared" si="3"/>
        <v/>
      </c>
    </row>
    <row r="82" spans="1:9" x14ac:dyDescent="0.35">
      <c r="A82" s="830"/>
      <c r="C82" s="446" t="str">
        <f t="shared" si="3"/>
        <v/>
      </c>
      <c r="D82" s="440" t="str">
        <f t="shared" si="3"/>
        <v/>
      </c>
      <c r="E82" s="439" t="str">
        <f t="shared" si="3"/>
        <v/>
      </c>
      <c r="F82" s="439" t="str">
        <f t="shared" si="3"/>
        <v/>
      </c>
      <c r="G82" s="444" t="str">
        <f t="shared" si="3"/>
        <v/>
      </c>
      <c r="H82" s="441" t="str">
        <f t="shared" si="3"/>
        <v/>
      </c>
    </row>
    <row r="83" spans="1:9" x14ac:dyDescent="0.35">
      <c r="A83" s="830"/>
      <c r="C83" s="446" t="str">
        <f t="shared" si="3"/>
        <v/>
      </c>
      <c r="D83" s="440" t="str">
        <f t="shared" si="3"/>
        <v/>
      </c>
      <c r="E83" s="439" t="str">
        <f t="shared" si="3"/>
        <v/>
      </c>
      <c r="F83" s="439" t="str">
        <f t="shared" si="3"/>
        <v/>
      </c>
      <c r="G83" s="444" t="str">
        <f t="shared" si="3"/>
        <v/>
      </c>
      <c r="H83" s="441" t="str">
        <f t="shared" si="3"/>
        <v/>
      </c>
    </row>
    <row r="84" spans="1:9" x14ac:dyDescent="0.35">
      <c r="A84" s="830"/>
      <c r="C84" s="446" t="str">
        <f t="shared" ref="C84:H86" si="4">IF(C44&lt;&gt;"",C44,"")</f>
        <v/>
      </c>
      <c r="D84" s="440" t="str">
        <f t="shared" si="4"/>
        <v/>
      </c>
      <c r="E84" s="439" t="str">
        <f t="shared" si="4"/>
        <v/>
      </c>
      <c r="F84" s="439" t="str">
        <f t="shared" si="4"/>
        <v/>
      </c>
      <c r="G84" s="444" t="str">
        <f t="shared" si="4"/>
        <v/>
      </c>
      <c r="H84" s="441" t="str">
        <f t="shared" si="4"/>
        <v/>
      </c>
    </row>
    <row r="85" spans="1:9" x14ac:dyDescent="0.35">
      <c r="A85" s="830"/>
      <c r="C85" s="446" t="str">
        <f t="shared" si="4"/>
        <v/>
      </c>
      <c r="D85" s="440" t="str">
        <f t="shared" si="4"/>
        <v/>
      </c>
      <c r="E85" s="439" t="str">
        <f t="shared" si="4"/>
        <v/>
      </c>
      <c r="F85" s="439" t="str">
        <f t="shared" si="4"/>
        <v/>
      </c>
      <c r="G85" s="444" t="str">
        <f t="shared" si="4"/>
        <v/>
      </c>
      <c r="H85" s="441" t="str">
        <f t="shared" si="4"/>
        <v/>
      </c>
    </row>
    <row r="86" spans="1:9" x14ac:dyDescent="0.35">
      <c r="A86" s="830"/>
      <c r="C86" s="446" t="str">
        <f t="shared" si="4"/>
        <v/>
      </c>
      <c r="D86" s="291" t="str">
        <f t="shared" si="4"/>
        <v/>
      </c>
      <c r="E86" s="439" t="str">
        <f t="shared" si="4"/>
        <v/>
      </c>
      <c r="F86" s="439" t="str">
        <f t="shared" si="4"/>
        <v/>
      </c>
      <c r="G86" s="444" t="str">
        <f t="shared" si="4"/>
        <v/>
      </c>
      <c r="H86" s="441" t="str">
        <f t="shared" si="4"/>
        <v/>
      </c>
    </row>
    <row r="87" spans="1:9" x14ac:dyDescent="0.35">
      <c r="A87" s="830"/>
      <c r="C87" s="447"/>
      <c r="D87" s="447"/>
      <c r="E87" s="447"/>
      <c r="F87" s="447"/>
      <c r="G87" s="892" t="str">
        <f>IF(VSK&lt;&gt;0, SUM(H67:H86),"")</f>
        <v/>
      </c>
      <c r="H87" s="892"/>
    </row>
    <row r="88" spans="1:9" x14ac:dyDescent="0.35">
      <c r="A88" s="830"/>
    </row>
    <row r="89" spans="1:9" x14ac:dyDescent="0.35">
      <c r="A89" s="830"/>
      <c r="B89" s="3"/>
      <c r="C89" t="str">
        <f>IF(AND(ZuAbschlag&lt;&gt;0,VSK&lt;&gt;0),"Zu-/Abschlag:","")</f>
        <v/>
      </c>
      <c r="E89" s="15" t="str">
        <f>IF(AND(ZuAbschlag&lt;&gt;0,VSK&lt;&gt;0),ZuAbschlag,"")</f>
        <v/>
      </c>
      <c r="F89" s="481" t="str">
        <f>IF(AND(ZuAbschlag&lt;&gt;0,VSK&lt;&gt;0),G87*E89,"")</f>
        <v/>
      </c>
      <c r="G89" s="1" t="str">
        <f>IF(AND(ZuAbschlag&lt;&gt;0,VSK&lt;&gt;0,F49&lt;&gt;""),F49,"")</f>
        <v/>
      </c>
    </row>
    <row r="90" spans="1:9" ht="15.5" x14ac:dyDescent="0.35">
      <c r="A90" s="830"/>
      <c r="C90" t="str">
        <f>IF(AND(NK&lt;&gt;0,VSK&lt;&gt;0),"Nebenkosten:","")</f>
        <v/>
      </c>
      <c r="F90" s="481" t="str">
        <f>IF(AND(NK&lt;&gt;0,VSK&lt;&gt;0),NK,"")</f>
        <v/>
      </c>
      <c r="G90" s="1" t="str">
        <f>IF(AND(NK&lt;&gt;0,VSK&lt;&gt;0,F50&lt;&gt;""),F50,"")</f>
        <v/>
      </c>
      <c r="I90" s="16"/>
    </row>
    <row r="91" spans="1:9" x14ac:dyDescent="0.35">
      <c r="A91" s="830"/>
    </row>
    <row r="92" spans="1:9" ht="15.5" x14ac:dyDescent="0.35">
      <c r="A92" s="830"/>
      <c r="C92" s="16" t="s">
        <v>65</v>
      </c>
      <c r="D92" s="16"/>
      <c r="E92" s="16"/>
      <c r="F92" s="16"/>
      <c r="G92" s="893">
        <f>IF(VSK&gt;0,SUM(F90,F89,G87),0)</f>
        <v>0</v>
      </c>
      <c r="H92" s="894"/>
    </row>
    <row r="93" spans="1:9" x14ac:dyDescent="0.35">
      <c r="A93" s="830"/>
    </row>
    <row r="94" spans="1:9" x14ac:dyDescent="0.35">
      <c r="A94" s="830"/>
    </row>
    <row r="95" spans="1:9" x14ac:dyDescent="0.35">
      <c r="A95" s="830"/>
    </row>
  </sheetData>
  <mergeCells count="14">
    <mergeCell ref="A1:A53"/>
    <mergeCell ref="C2:H2"/>
    <mergeCell ref="A54:A95"/>
    <mergeCell ref="B55:I55"/>
    <mergeCell ref="B56:I56"/>
    <mergeCell ref="B57:I57"/>
    <mergeCell ref="B58:I58"/>
    <mergeCell ref="B60:I60"/>
    <mergeCell ref="F49:H49"/>
    <mergeCell ref="K67:O71"/>
    <mergeCell ref="G87:H87"/>
    <mergeCell ref="G92:H92"/>
    <mergeCell ref="F50:H50"/>
    <mergeCell ref="G52:H52"/>
  </mergeCells>
  <dataValidations count="4">
    <dataValidation type="decimal" operator="greaterThan" showInputMessage="1" showErrorMessage="1" sqref="E49" xr:uid="{00000000-0002-0000-0900-000000000000}">
      <formula1>-1000</formula1>
    </dataValidation>
    <dataValidation type="decimal" operator="greaterThanOrEqual" allowBlank="1" showInputMessage="1" showErrorMessage="1" error="Zahl eingeben!" sqref="F27:F46" xr:uid="{00000000-0002-0000-0900-000001000000}">
      <formula1>0</formula1>
    </dataValidation>
    <dataValidation type="decimal" operator="greaterThan" showInputMessage="1" showErrorMessage="1" sqref="E50" xr:uid="{00000000-0002-0000-0900-000002000000}">
      <formula1>-1000000</formula1>
    </dataValidation>
    <dataValidation type="list" showInputMessage="1" showErrorMessage="1" sqref="E27:E46" xr:uid="{F38C69FA-6A0B-4D60-9161-789B612CBE5C}">
      <formula1>$G$5:$G$24</formula1>
    </dataValidation>
  </dataValidations>
  <pageMargins left="0.70866141732283472" right="0.39370078740157483" top="0.59055118110236227" bottom="0.59055118110236227" header="0.31496062992125984" footer="0.31496062992125984"/>
  <pageSetup paperSize="9" orientation="portrait" r:id="rId1"/>
  <headerFooter>
    <oddFooter>&amp;L&amp;9&amp;F, &amp;A&amp;R&amp;9&amp;D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2"/>
  <dimension ref="A1:P69"/>
  <sheetViews>
    <sheetView zoomScaleNormal="100" workbookViewId="0">
      <selection activeCell="C4" sqref="C4:D4"/>
    </sheetView>
  </sheetViews>
  <sheetFormatPr baseColWidth="10" defaultColWidth="11.453125" defaultRowHeight="14.5" x14ac:dyDescent="0.35"/>
  <cols>
    <col min="1" max="1" width="4" customWidth="1"/>
    <col min="2" max="2" width="6.7265625" customWidth="1"/>
    <col min="3" max="8" width="12.7265625" customWidth="1"/>
    <col min="9" max="9" width="5.7265625" customWidth="1"/>
  </cols>
  <sheetData>
    <row r="1" spans="1:16" ht="15.75" customHeight="1" x14ac:dyDescent="0.35">
      <c r="A1" s="833" t="s">
        <v>35</v>
      </c>
      <c r="B1" s="45"/>
      <c r="C1" s="45"/>
      <c r="D1" s="45"/>
      <c r="E1" s="45"/>
      <c r="F1" s="45"/>
      <c r="G1" s="45"/>
      <c r="H1" s="45"/>
      <c r="I1" s="45"/>
      <c r="K1" s="93" t="s">
        <v>699</v>
      </c>
      <c r="L1" s="93"/>
      <c r="M1" s="93"/>
      <c r="N1" s="94">
        <f ca="1">CELL("ZEILE",B27)</f>
        <v>27</v>
      </c>
    </row>
    <row r="2" spans="1:16" ht="23.5" x14ac:dyDescent="0.35">
      <c r="A2" s="833"/>
      <c r="B2" s="46"/>
      <c r="C2" s="47" t="s">
        <v>36</v>
      </c>
      <c r="D2" s="864" t="s">
        <v>88</v>
      </c>
      <c r="E2" s="865"/>
      <c r="F2" s="865"/>
      <c r="G2" s="865"/>
      <c r="H2" s="866"/>
      <c r="I2" s="45"/>
      <c r="K2" s="175" t="s">
        <v>700</v>
      </c>
      <c r="L2" s="155"/>
      <c r="M2" s="155"/>
      <c r="N2" s="175">
        <f ca="1">CELL("ZEILE",G60)</f>
        <v>60</v>
      </c>
    </row>
    <row r="3" spans="1:16" ht="23.5" x14ac:dyDescent="0.35">
      <c r="A3" s="833"/>
      <c r="B3" s="46"/>
      <c r="C3" s="330"/>
      <c r="D3" s="346"/>
      <c r="E3" s="59"/>
      <c r="F3" s="59"/>
      <c r="G3" s="59"/>
      <c r="H3" s="60"/>
      <c r="I3" s="45"/>
      <c r="K3" s="175" t="s">
        <v>701</v>
      </c>
      <c r="L3" s="155"/>
      <c r="M3" s="155"/>
      <c r="N3" s="175">
        <f>F19</f>
        <v>0</v>
      </c>
    </row>
    <row r="4" spans="1:16" ht="15.5" x14ac:dyDescent="0.35">
      <c r="A4" s="833"/>
      <c r="B4" s="344"/>
      <c r="C4" s="902" t="s">
        <v>559</v>
      </c>
      <c r="D4" s="903"/>
      <c r="E4" s="345" t="s">
        <v>346</v>
      </c>
      <c r="F4" s="330"/>
      <c r="G4" s="348"/>
      <c r="H4" s="343"/>
      <c r="I4" s="330"/>
    </row>
    <row r="5" spans="1:16" ht="15.5" x14ac:dyDescent="0.35">
      <c r="A5" s="833"/>
      <c r="B5" s="46"/>
      <c r="C5" s="330"/>
      <c r="D5" s="330"/>
      <c r="E5" s="330"/>
      <c r="F5" s="330"/>
      <c r="G5" s="330"/>
      <c r="H5" s="330"/>
      <c r="I5" s="330"/>
    </row>
    <row r="6" spans="1:16" ht="15.5" x14ac:dyDescent="0.35">
      <c r="A6" s="833"/>
      <c r="B6" s="46"/>
      <c r="C6" s="330" t="s">
        <v>190</v>
      </c>
      <c r="D6" s="452">
        <f>VLOOKUP(C4,Konstante!C52:E54,3,FALSE)</f>
        <v>0.29699999999999999</v>
      </c>
      <c r="E6" s="342" t="s">
        <v>345</v>
      </c>
      <c r="F6" s="317"/>
      <c r="G6" s="330"/>
      <c r="H6" s="317"/>
      <c r="I6" s="317"/>
      <c r="K6" s="254"/>
      <c r="M6" s="57"/>
    </row>
    <row r="7" spans="1:16" ht="15.5" x14ac:dyDescent="0.35">
      <c r="A7" s="833"/>
      <c r="B7" s="46"/>
      <c r="C7" s="330"/>
      <c r="D7" s="317"/>
      <c r="E7" s="338"/>
      <c r="F7" s="317"/>
      <c r="G7" s="330"/>
      <c r="H7" s="317"/>
      <c r="I7" s="317"/>
      <c r="K7" s="254"/>
      <c r="M7" s="57"/>
    </row>
    <row r="8" spans="1:16" ht="15.5" x14ac:dyDescent="0.35">
      <c r="A8" s="833"/>
      <c r="B8" s="46"/>
      <c r="C8" s="330" t="s">
        <v>258</v>
      </c>
      <c r="D8" s="349"/>
      <c r="E8" s="338" t="s">
        <v>344</v>
      </c>
      <c r="F8" s="317"/>
      <c r="G8" s="330"/>
      <c r="H8" s="317"/>
      <c r="I8" s="317"/>
      <c r="K8" s="254"/>
      <c r="M8" s="57"/>
    </row>
    <row r="9" spans="1:16" ht="15.5" x14ac:dyDescent="0.35">
      <c r="A9" s="833"/>
      <c r="B9" s="46"/>
      <c r="C9" s="330"/>
      <c r="D9" s="317"/>
      <c r="E9" s="338"/>
      <c r="F9" s="317"/>
      <c r="G9" s="330"/>
      <c r="H9" s="317"/>
      <c r="I9" s="317"/>
      <c r="K9" s="254"/>
      <c r="M9" s="57"/>
    </row>
    <row r="10" spans="1:16" ht="15.5" x14ac:dyDescent="0.35">
      <c r="A10" s="833"/>
      <c r="B10" s="46"/>
      <c r="C10" s="330" t="s">
        <v>343</v>
      </c>
      <c r="D10" s="350"/>
      <c r="E10" s="338" t="s">
        <v>342</v>
      </c>
      <c r="F10" s="317"/>
      <c r="G10" s="330"/>
      <c r="H10" s="317"/>
      <c r="I10" s="317"/>
      <c r="K10" s="254"/>
      <c r="M10" s="57"/>
    </row>
    <row r="11" spans="1:16" ht="15.5" x14ac:dyDescent="0.35">
      <c r="A11" s="833"/>
      <c r="B11" s="46"/>
      <c r="C11" s="330"/>
      <c r="D11" s="317"/>
      <c r="E11" s="317"/>
      <c r="F11" s="317"/>
      <c r="G11" s="317"/>
      <c r="H11" s="317"/>
      <c r="I11" s="317"/>
      <c r="K11" s="254"/>
      <c r="L11" s="254"/>
      <c r="N11" s="254"/>
      <c r="O11" s="254"/>
    </row>
    <row r="12" spans="1:16" ht="15.5" x14ac:dyDescent="0.35">
      <c r="A12" s="833"/>
      <c r="B12" s="46"/>
      <c r="C12" s="330" t="s">
        <v>140</v>
      </c>
      <c r="D12" s="347">
        <f>VLOOKUP(E12,Konstante!G53:H61,2,FALSE)</f>
        <v>1.1499999999999999</v>
      </c>
      <c r="E12" s="122" t="s">
        <v>20</v>
      </c>
      <c r="F12" s="338" t="s">
        <v>331</v>
      </c>
      <c r="G12" s="330"/>
      <c r="H12" s="317"/>
      <c r="I12" s="317"/>
    </row>
    <row r="13" spans="1:16" ht="15.5" x14ac:dyDescent="0.35">
      <c r="A13" s="833"/>
      <c r="B13" s="45"/>
      <c r="C13" s="317"/>
      <c r="D13" s="317"/>
      <c r="E13" s="317"/>
      <c r="F13" s="317"/>
      <c r="G13" s="317"/>
      <c r="H13" s="317"/>
      <c r="I13" s="46"/>
      <c r="K13" s="254"/>
      <c r="L13" s="254"/>
      <c r="M13" s="332"/>
      <c r="N13" s="254"/>
      <c r="O13" s="254"/>
      <c r="P13" s="254"/>
    </row>
    <row r="14" spans="1:16" ht="15.5" x14ac:dyDescent="0.35">
      <c r="A14" s="833"/>
      <c r="B14" s="46"/>
      <c r="C14" s="317"/>
      <c r="D14" s="317"/>
      <c r="E14" s="317"/>
      <c r="F14" s="317"/>
      <c r="G14" s="317"/>
      <c r="H14" s="317"/>
      <c r="I14" s="47"/>
      <c r="K14" s="254"/>
      <c r="L14" s="254"/>
      <c r="M14" s="332"/>
      <c r="N14" s="254"/>
      <c r="O14" s="254"/>
      <c r="P14" s="254"/>
    </row>
    <row r="15" spans="1:16" ht="15.5" x14ac:dyDescent="0.35">
      <c r="A15" s="833"/>
      <c r="B15" s="46"/>
      <c r="C15" s="317"/>
      <c r="D15" s="318"/>
      <c r="E15" s="317"/>
      <c r="F15" s="319"/>
      <c r="G15" s="592" t="s">
        <v>633</v>
      </c>
      <c r="H15" s="319"/>
      <c r="I15" s="47"/>
      <c r="K15" s="254"/>
      <c r="L15" s="254"/>
      <c r="M15" s="332"/>
      <c r="N15" s="254"/>
      <c r="O15" s="254"/>
      <c r="P15" s="254"/>
    </row>
    <row r="16" spans="1:16" ht="15.5" x14ac:dyDescent="0.35">
      <c r="A16" s="833"/>
      <c r="B16" s="46"/>
      <c r="C16" s="47" t="s">
        <v>34</v>
      </c>
      <c r="D16" s="47"/>
      <c r="E16" s="320"/>
      <c r="F16" s="47"/>
      <c r="G16" s="868"/>
      <c r="H16" s="869"/>
      <c r="I16" s="47"/>
      <c r="K16" s="254"/>
      <c r="L16" s="254"/>
      <c r="M16" s="254"/>
      <c r="N16" s="254"/>
      <c r="O16" s="254"/>
      <c r="P16" s="254"/>
    </row>
    <row r="17" spans="1:16" ht="15.5" x14ac:dyDescent="0.35">
      <c r="A17" s="833"/>
      <c r="B17" s="46"/>
      <c r="C17" s="47" t="s">
        <v>1</v>
      </c>
      <c r="D17" s="47"/>
      <c r="E17" s="321"/>
      <c r="F17" s="47"/>
      <c r="G17" s="867"/>
      <c r="H17" s="867"/>
      <c r="I17" s="47"/>
    </row>
    <row r="18" spans="1:16" ht="15.5" x14ac:dyDescent="0.35">
      <c r="A18" s="833"/>
      <c r="B18" s="46"/>
      <c r="C18" s="47"/>
      <c r="D18" s="47"/>
      <c r="E18" s="53"/>
      <c r="F18" s="47"/>
      <c r="G18" s="46"/>
      <c r="H18" s="46"/>
      <c r="I18" s="45"/>
    </row>
    <row r="19" spans="1:16" ht="21" x14ac:dyDescent="0.5">
      <c r="A19" s="833"/>
      <c r="B19" s="45"/>
      <c r="C19" s="54" t="str">
        <f>IF(VSK=0, "UNVOLLSTÄNDIG AUSGEFÜLLT!","")</f>
        <v>UNVOLLSTÄNDIG AUSGEFÜLLT!</v>
      </c>
      <c r="D19" s="45"/>
      <c r="E19" s="45"/>
      <c r="F19" s="451">
        <f>IF(AND(ISNUMBER(S_),ISNUMBER(n)),1,0)</f>
        <v>0</v>
      </c>
      <c r="G19" s="852" t="str">
        <f>IF(VSK&lt;&gt;0, G60,"")</f>
        <v/>
      </c>
      <c r="H19" s="852"/>
      <c r="I19" s="45"/>
      <c r="P19" s="254"/>
    </row>
    <row r="20" spans="1:16" ht="15.5" x14ac:dyDescent="0.35">
      <c r="A20" s="833"/>
      <c r="B20" s="45"/>
      <c r="C20" s="45"/>
      <c r="D20" s="45"/>
      <c r="E20" s="45"/>
      <c r="F20" s="45"/>
      <c r="G20" s="45"/>
      <c r="H20" s="45"/>
      <c r="I20" s="45"/>
    </row>
    <row r="21" spans="1:16" ht="15" customHeight="1" x14ac:dyDescent="0.35">
      <c r="A21" s="830" t="s">
        <v>66</v>
      </c>
      <c r="I21" s="577" t="str">
        <f ca="1">IF(VLOOKUP(B27,CHOOSE({5,4,3,2,1},Gesamt!L32:L65,Gesamt!M32:M65,Gesamt!N32:N65,Gesamt!O32:O65,Gesamt!P32:P65,),4,0)&gt;0,CONCATENATE("Pos. ",VLOOKUP(B27,CHOOSE({5,4,3,2,1},Gesamt!L32:L65,Gesamt!M32:M65,Gesamt!N32:N65,Gesamt!O32:O65,Gesamt!P32:P65,),VLOOKUP(Gesamt!C19,Gesamt!L5:N7,3,0),0)),"")</f>
        <v/>
      </c>
    </row>
    <row r="22" spans="1:16" x14ac:dyDescent="0.35">
      <c r="A22" s="830"/>
      <c r="B22" s="831" t="str">
        <f>CONCATENATE(Gesamt!C2, ": ", Gesamt!E2)</f>
        <v xml:space="preserve">Projekt: </v>
      </c>
      <c r="C22" s="831"/>
      <c r="D22" s="831"/>
      <c r="E22" s="831"/>
      <c r="F22" s="831"/>
      <c r="G22" s="831"/>
      <c r="H22" s="831"/>
      <c r="I22" s="831"/>
    </row>
    <row r="23" spans="1:16" x14ac:dyDescent="0.35">
      <c r="A23" s="830"/>
      <c r="B23" s="832" t="str">
        <f>CONCATENATE(Gesamt!C4, ": ", Gesamt!E4, IF(Gesamt!E5&lt;&gt;""," - ",""), IF(Gesamt!E5&lt;&gt;"",Gesamt!E5,""), IF(Gesamt!E6&lt;&gt;""," - GZ. ",""), IF(Gesamt!E6&lt;&gt;"",Gesamt!E6,""),)</f>
        <v xml:space="preserve">Auftraggeber: </v>
      </c>
      <c r="C23" s="832"/>
      <c r="D23" s="832"/>
      <c r="E23" s="832"/>
      <c r="F23" s="832"/>
      <c r="G23" s="832"/>
      <c r="H23" s="832"/>
      <c r="I23" s="832"/>
    </row>
    <row r="24" spans="1:16" x14ac:dyDescent="0.35">
      <c r="A24" s="830"/>
      <c r="B24" s="832" t="str">
        <f>CONCATENATE(Gesamt!C9, ": ",Gesamt!E9,  IF(Gesamt!C10&lt;&gt;""," - ",""), IF(Gesamt!C10&lt;&gt;"",Gesamt!E10,""), IF(Gesamt!C11&lt;&gt;""," - GZ. ",""), IF(Gesamt!C11&lt;&gt;"",Gesamt!E11,""), )</f>
        <v xml:space="preserve">Bieter:  -  - GZ. </v>
      </c>
      <c r="C24" s="832"/>
      <c r="D24" s="832"/>
      <c r="E24" s="832"/>
      <c r="F24" s="832"/>
      <c r="G24" s="832"/>
      <c r="H24" s="832"/>
      <c r="I24" s="832"/>
    </row>
    <row r="25" spans="1:16" x14ac:dyDescent="0.35">
      <c r="A25" s="830"/>
      <c r="B25" s="832" t="s">
        <v>41</v>
      </c>
      <c r="C25" s="832"/>
      <c r="D25" s="832"/>
      <c r="E25" s="832"/>
      <c r="F25" s="832"/>
      <c r="G25" s="832"/>
      <c r="H25" s="832"/>
      <c r="I25" s="832"/>
    </row>
    <row r="26" spans="1:16" x14ac:dyDescent="0.35">
      <c r="A26" s="830"/>
    </row>
    <row r="27" spans="1:16" ht="18.5" x14ac:dyDescent="0.35">
      <c r="A27" s="830"/>
      <c r="B27" s="843" t="str">
        <f>D2</f>
        <v>Nivellement</v>
      </c>
      <c r="C27" s="843"/>
      <c r="D27" s="843"/>
      <c r="E27" s="843"/>
      <c r="F27" s="843"/>
      <c r="G27" s="843"/>
      <c r="H27" s="843"/>
      <c r="I27" s="843"/>
    </row>
    <row r="28" spans="1:16" x14ac:dyDescent="0.35">
      <c r="A28" s="830"/>
    </row>
    <row r="29" spans="1:16" x14ac:dyDescent="0.35">
      <c r="A29" s="830"/>
      <c r="C29" t="s">
        <v>688</v>
      </c>
    </row>
    <row r="30" spans="1:16" x14ac:dyDescent="0.35">
      <c r="A30" s="830"/>
    </row>
    <row r="31" spans="1:16" x14ac:dyDescent="0.35">
      <c r="A31" s="830"/>
      <c r="C31" t="s">
        <v>959</v>
      </c>
      <c r="E31" s="118">
        <f>IS</f>
        <v>0</v>
      </c>
    </row>
    <row r="32" spans="1:16" x14ac:dyDescent="0.35">
      <c r="A32" s="830"/>
      <c r="C32" s="15"/>
    </row>
    <row r="33" spans="1:15" x14ac:dyDescent="0.35">
      <c r="A33" s="830"/>
      <c r="C33" s="30" t="s">
        <v>341</v>
      </c>
      <c r="E33" s="30"/>
    </row>
    <row r="34" spans="1:15" x14ac:dyDescent="0.35">
      <c r="A34" s="830"/>
      <c r="E34" s="30"/>
    </row>
    <row r="35" spans="1:15" x14ac:dyDescent="0.35">
      <c r="A35" s="830"/>
    </row>
    <row r="36" spans="1:15" ht="18.5" x14ac:dyDescent="0.45">
      <c r="A36" s="830"/>
      <c r="C36" s="568" t="str">
        <f>C4</f>
        <v>Technisches Nivellement</v>
      </c>
    </row>
    <row r="37" spans="1:15" x14ac:dyDescent="0.35">
      <c r="A37" s="830"/>
      <c r="C37" s="234"/>
      <c r="D37" s="201"/>
      <c r="E37" s="201"/>
      <c r="F37" s="409"/>
      <c r="G37" s="234"/>
      <c r="H37" s="234"/>
    </row>
    <row r="38" spans="1:15" x14ac:dyDescent="0.35">
      <c r="A38" s="830"/>
      <c r="C38" s="569" t="s">
        <v>262</v>
      </c>
      <c r="D38" s="570">
        <f>G</f>
        <v>0.29699999999999999</v>
      </c>
      <c r="E38" s="571" t="s">
        <v>340</v>
      </c>
      <c r="O38" t="str">
        <f ca="1">IF(VLOOKUP(B27,CHOOSE({5,4,3,2,1},Gesamt!L32:L65,Gesamt!M32:M65,Gesamt!N32:N65,Gesamt!O32:O65,Gesamt!P32:P65,),4,0)&gt;0,CONCATENATE("Pos. ",VLOOKUP(B27,CHOOSE({5,4,3,2,1},Gesamt!L32:L65,Gesamt!M32:M65,Gesamt!N32:N65,Gesamt!O32:O65,Gesamt!P32:P65,),VLOOKUP(Gesamt!C19,Gesamt!L5:N7,3,0),0)),"")</f>
        <v/>
      </c>
    </row>
    <row r="39" spans="1:15" x14ac:dyDescent="0.35">
      <c r="A39" s="830"/>
      <c r="C39" s="237" t="s">
        <v>339</v>
      </c>
      <c r="D39" s="570">
        <f>S_</f>
        <v>0</v>
      </c>
      <c r="E39" s="571" t="s">
        <v>338</v>
      </c>
    </row>
    <row r="40" spans="1:15" x14ac:dyDescent="0.35">
      <c r="A40" s="830"/>
      <c r="C40" s="237" t="s">
        <v>337</v>
      </c>
      <c r="D40" s="570">
        <f>n</f>
        <v>0</v>
      </c>
      <c r="E40" s="571" t="s">
        <v>336</v>
      </c>
    </row>
    <row r="41" spans="1:15" x14ac:dyDescent="0.35">
      <c r="A41" s="830"/>
      <c r="C41" s="237" t="s">
        <v>325</v>
      </c>
      <c r="D41" s="570">
        <f>f</f>
        <v>1.1499999999999999</v>
      </c>
      <c r="E41" s="571" t="str">
        <f>CONCATENATE("Geländeklasse und Schwierigkeitsstufe: ",E12)</f>
        <v>Geländeklasse und Schwierigkeitsstufe: Ib</v>
      </c>
    </row>
    <row r="42" spans="1:15" x14ac:dyDescent="0.35">
      <c r="A42" s="830"/>
      <c r="C42" s="570" t="str">
        <f>IF(AND($M$6&gt;0,M9&gt;0),"4","")</f>
        <v/>
      </c>
      <c r="D42" s="570" t="str">
        <f t="shared" ref="D42" si="0">IF(AND($M$6&gt;0,M9&gt;0),D9,"")</f>
        <v/>
      </c>
      <c r="E42" t="str">
        <f>IF(AND($M$6&gt;0,M9&gt;0),F9,"")</f>
        <v/>
      </c>
    </row>
    <row r="43" spans="1:15" x14ac:dyDescent="0.35">
      <c r="A43" s="830"/>
      <c r="C43" s="3" t="s">
        <v>60</v>
      </c>
      <c r="D43" s="3"/>
      <c r="E43" s="3"/>
      <c r="F43" s="22">
        <f>IF(VSK&lt;&gt;0, (13.963 * S_* G * f + 0.293 * n + 0.595) * IS,0)</f>
        <v>0</v>
      </c>
    </row>
    <row r="44" spans="1:15" x14ac:dyDescent="0.35">
      <c r="A44" s="830"/>
    </row>
    <row r="45" spans="1:15" x14ac:dyDescent="0.35">
      <c r="A45" s="830"/>
      <c r="C45" t="str">
        <f>IF(AND(VSK&gt;0,C4="Wiederholungsmessung",H4&gt;1),CONCATENATE("insgesamt ", H4, " Folgemessungen: "),"")</f>
        <v/>
      </c>
      <c r="F45" s="17" t="str">
        <f>IF(AND(VSK&gt;0,C4="Wiederholungsmessung",H4&gt;1),H4*F43,"")</f>
        <v/>
      </c>
      <c r="G45" s="1"/>
    </row>
    <row r="46" spans="1:15" x14ac:dyDescent="0.35">
      <c r="A46" s="830"/>
    </row>
    <row r="47" spans="1:15" x14ac:dyDescent="0.35">
      <c r="A47" s="830"/>
      <c r="F47" s="28"/>
      <c r="G47" s="1"/>
    </row>
    <row r="48" spans="1:15" x14ac:dyDescent="0.35">
      <c r="A48" s="830"/>
      <c r="B48" s="3"/>
    </row>
    <row r="49" spans="1:9" x14ac:dyDescent="0.35">
      <c r="A49" s="830"/>
    </row>
    <row r="50" spans="1:9" x14ac:dyDescent="0.35">
      <c r="A50" s="830"/>
    </row>
    <row r="51" spans="1:9" x14ac:dyDescent="0.35">
      <c r="A51" s="830"/>
    </row>
    <row r="52" spans="1:9" x14ac:dyDescent="0.35">
      <c r="A52" s="830"/>
    </row>
    <row r="53" spans="1:9" x14ac:dyDescent="0.35">
      <c r="A53" s="830"/>
    </row>
    <row r="54" spans="1:9" x14ac:dyDescent="0.35">
      <c r="A54" s="830"/>
    </row>
    <row r="55" spans="1:9" x14ac:dyDescent="0.35">
      <c r="A55" s="830"/>
    </row>
    <row r="56" spans="1:9" x14ac:dyDescent="0.35">
      <c r="A56" s="830"/>
      <c r="B56" s="3"/>
      <c r="C56" t="str">
        <f>IF(AND(ZuAbschlag&lt;&gt;0,VSK&lt;&gt;0),"Zu-/Abschlag:","")</f>
        <v/>
      </c>
      <c r="E56" s="15" t="str">
        <f>IF(AND(ZuAbschlag&lt;&gt;0,VSK&lt;&gt;0),ZuAbschlag,"")</f>
        <v/>
      </c>
      <c r="F56" s="17" t="str">
        <f>IF(AND(ZuAbschlag&lt;&gt;0,VSK&lt;&gt;0),F43*E56,"")</f>
        <v/>
      </c>
      <c r="G56" s="1" t="str">
        <f>IF(AND(ZuAbschlag&lt;&gt;0,VSK&lt;&gt;0,G16&lt;&gt;""),G16,"")</f>
        <v/>
      </c>
    </row>
    <row r="57" spans="1:9" ht="15.5" x14ac:dyDescent="0.35">
      <c r="A57" s="830"/>
      <c r="C57" t="str">
        <f>IF(AND(NK&lt;&gt;0,VSK&lt;&gt;0),"Nebenkosten:","")</f>
        <v/>
      </c>
      <c r="F57" s="17" t="str">
        <f>IF(AND(NK&lt;&gt;0,VSK&lt;&gt;0),NK,"")</f>
        <v/>
      </c>
      <c r="G57" s="1" t="str">
        <f>IF(AND(NK&lt;&gt;0,VSK&lt;&gt;0,G17&lt;&gt;""),G17,"")</f>
        <v/>
      </c>
      <c r="I57" s="16"/>
    </row>
    <row r="58" spans="1:9" x14ac:dyDescent="0.35">
      <c r="A58" s="830"/>
      <c r="C58" s="78"/>
      <c r="D58" s="78"/>
      <c r="E58" s="78"/>
      <c r="F58" s="78"/>
      <c r="G58" s="78"/>
      <c r="H58" s="78"/>
    </row>
    <row r="59" spans="1:9" x14ac:dyDescent="0.35">
      <c r="A59" s="830"/>
      <c r="C59" s="55"/>
      <c r="D59" s="55"/>
      <c r="E59" s="55"/>
      <c r="F59" s="55"/>
      <c r="G59" s="55"/>
      <c r="H59" s="55"/>
    </row>
    <row r="60" spans="1:9" ht="15.5" x14ac:dyDescent="0.35">
      <c r="A60" s="830"/>
      <c r="C60" s="16" t="s">
        <v>65</v>
      </c>
      <c r="D60" s="16"/>
      <c r="E60" s="16"/>
      <c r="F60" s="16"/>
      <c r="G60" s="842">
        <f>IF(VSK&gt;0,IF(AND(H4&gt;1,C4="Wiederholungsmessung"),SUM(F45,F56,F57),SUM(F43,F56,F57)),0)</f>
        <v>0</v>
      </c>
      <c r="H60" s="842"/>
    </row>
    <row r="61" spans="1:9" ht="15.5" x14ac:dyDescent="0.35">
      <c r="A61" s="830"/>
      <c r="B61" s="16"/>
    </row>
    <row r="62" spans="1:9" x14ac:dyDescent="0.35">
      <c r="A62" s="830"/>
    </row>
    <row r="63" spans="1:9" x14ac:dyDescent="0.35">
      <c r="A63" s="830"/>
    </row>
    <row r="64" spans="1:9" x14ac:dyDescent="0.35">
      <c r="A64" s="830"/>
    </row>
    <row r="65" spans="1:1" x14ac:dyDescent="0.35">
      <c r="A65" s="830"/>
    </row>
    <row r="66" spans="1:1" x14ac:dyDescent="0.35">
      <c r="A66" s="830"/>
    </row>
    <row r="67" spans="1:1" x14ac:dyDescent="0.35">
      <c r="A67" s="830"/>
    </row>
    <row r="68" spans="1:1" x14ac:dyDescent="0.35">
      <c r="A68" s="830"/>
    </row>
    <row r="69" spans="1:1" x14ac:dyDescent="0.35">
      <c r="A69" s="830"/>
    </row>
  </sheetData>
  <mergeCells count="13">
    <mergeCell ref="A1:A20"/>
    <mergeCell ref="D2:H2"/>
    <mergeCell ref="C4:D4"/>
    <mergeCell ref="G16:H16"/>
    <mergeCell ref="G17:H17"/>
    <mergeCell ref="G19:H19"/>
    <mergeCell ref="A21:A69"/>
    <mergeCell ref="B22:I22"/>
    <mergeCell ref="B23:I23"/>
    <mergeCell ref="B24:I24"/>
    <mergeCell ref="B25:I25"/>
    <mergeCell ref="B27:I27"/>
    <mergeCell ref="G60:H60"/>
  </mergeCells>
  <dataValidations count="8">
    <dataValidation type="decimal" operator="greaterThan" allowBlank="1" showInputMessage="1" showErrorMessage="1" error="Wertebereich: 1 und größer" sqref="D8" xr:uid="{00000000-0002-0000-0A00-000000000000}">
      <formula1>0</formula1>
    </dataValidation>
    <dataValidation type="decimal" operator="greaterThan" allowBlank="1" showInputMessage="1" showErrorMessage="1" error="Ganze Zahl größer 0 und kleiner 100 eingeben" sqref="D6" xr:uid="{00000000-0002-0000-0A00-000001000000}">
      <formula1>0</formula1>
    </dataValidation>
    <dataValidation type="decimal" allowBlank="1" showInputMessage="1" showErrorMessage="1" error="Zahl zwischen 0 und 2 eingeben" sqref="F6:F10" xr:uid="{00000000-0002-0000-0A00-000002000000}">
      <formula1>0</formula1>
      <formula2>2</formula2>
    </dataValidation>
    <dataValidation type="whole" operator="greaterThan" allowBlank="1" showInputMessage="1" showErrorMessage="1" error="Wertebereich: 1 und größer" sqref="D9:D10" xr:uid="{00000000-0002-0000-0A00-000003000000}">
      <formula1>-1</formula1>
    </dataValidation>
    <dataValidation type="whole" operator="greaterThan" allowBlank="1" showInputMessage="1" showErrorMessage="1" error="Wertebereich: 1 und größer" sqref="D7" xr:uid="{00000000-0002-0000-0A00-000004000000}">
      <formula1>0</formula1>
    </dataValidation>
    <dataValidation operator="greaterThan" allowBlank="1" showInputMessage="1" showErrorMessage="1" sqref="H4" xr:uid="{00000000-0002-0000-0A00-000005000000}"/>
    <dataValidation type="decimal" operator="greaterThan" showInputMessage="1" showErrorMessage="1" sqref="E16" xr:uid="{00000000-0002-0000-0A00-000006000000}">
      <formula1>-1000</formula1>
    </dataValidation>
    <dataValidation type="decimal" operator="greaterThan" allowBlank="1" showInputMessage="1" showErrorMessage="1" sqref="E17" xr:uid="{00000000-0002-0000-0A00-000007000000}">
      <formula1>-1000000</formula1>
    </dataValidation>
  </dataValidations>
  <pageMargins left="0.70866141732283472" right="0.39370078740157483" top="0.59055118110236227" bottom="0.59055118110236227" header="0.31496062992125984" footer="0.31496062992125984"/>
  <pageSetup paperSize="9" orientation="portrait" r:id="rId1"/>
  <headerFooter>
    <oddFooter>&amp;L&amp;9&amp;F, &amp;A&amp;R&amp;9&amp;D</oddFooter>
  </headerFooter>
  <legacyDrawing r:id="rId2"/>
  <legacyDrawingHF r:id="rId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A00-000008000000}">
          <x14:formula1>
            <xm:f>Konstante!$C$52:$C$54</xm:f>
          </x14:formula1>
          <xm:sqref>C4:D4</xm:sqref>
        </x14:dataValidation>
        <x14:dataValidation type="list" allowBlank="1" showInputMessage="1" showErrorMessage="1" error="Ganze Zahl größer 0 und kleiner 100 eingeben" xr:uid="{00000000-0002-0000-0A00-000009000000}">
          <x14:formula1>
            <xm:f>Konstante!$Y$40:$Y$48</xm:f>
          </x14:formula1>
          <xm:sqref>E12</xm:sqref>
        </x14:dataValidation>
      </x14:dataValidations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3"/>
  <dimension ref="A1:W71"/>
  <sheetViews>
    <sheetView zoomScaleNormal="100" zoomScaleSheetLayoutView="100" workbookViewId="0">
      <selection activeCell="E7" sqref="E7"/>
    </sheetView>
  </sheetViews>
  <sheetFormatPr baseColWidth="10" defaultColWidth="11.453125" defaultRowHeight="14.5" x14ac:dyDescent="0.35"/>
  <cols>
    <col min="1" max="1" width="4" customWidth="1"/>
    <col min="2" max="2" width="5.26953125" customWidth="1"/>
    <col min="3" max="3" width="12.7265625" customWidth="1"/>
    <col min="4" max="4" width="14.81640625" customWidth="1"/>
    <col min="5" max="8" width="12.7265625" customWidth="1"/>
    <col min="9" max="9" width="4.54296875" customWidth="1"/>
    <col min="10" max="10" width="8.7265625" style="18" customWidth="1"/>
    <col min="11" max="11" width="11.453125" style="92"/>
    <col min="12" max="12" width="11.453125" style="93"/>
    <col min="13" max="16" width="11.453125" style="94"/>
    <col min="17" max="17" width="11.453125" style="641"/>
    <col min="18" max="18" width="11.453125" style="94"/>
  </cols>
  <sheetData>
    <row r="1" spans="1:23" ht="17.25" customHeight="1" x14ac:dyDescent="0.35">
      <c r="A1" s="833" t="s">
        <v>35</v>
      </c>
      <c r="B1" s="45"/>
      <c r="C1" s="45"/>
      <c r="D1" s="45"/>
      <c r="E1" s="45"/>
      <c r="F1" s="45"/>
      <c r="G1" s="45"/>
      <c r="H1" s="45"/>
      <c r="I1" s="45"/>
      <c r="K1" s="93" t="s">
        <v>699</v>
      </c>
      <c r="M1" s="93"/>
      <c r="N1" s="94">
        <f ca="1">CELL("ZEILE",B27)</f>
        <v>27</v>
      </c>
      <c r="P1" s="638" t="s">
        <v>846</v>
      </c>
      <c r="Q1" s="145"/>
      <c r="R1" s="639">
        <v>0</v>
      </c>
    </row>
    <row r="2" spans="1:23" ht="22.5" customHeight="1" x14ac:dyDescent="0.35">
      <c r="A2" s="833"/>
      <c r="B2" s="46"/>
      <c r="C2" s="47" t="s">
        <v>36</v>
      </c>
      <c r="D2" s="612" t="s">
        <v>1133</v>
      </c>
      <c r="E2" s="613"/>
      <c r="F2" s="613"/>
      <c r="G2" s="613"/>
      <c r="H2" s="614"/>
      <c r="I2" s="45"/>
      <c r="K2" s="175" t="s">
        <v>700</v>
      </c>
      <c r="L2" s="155"/>
      <c r="M2" s="155"/>
      <c r="N2" s="175">
        <f ca="1">CELL("ZEILE",G71)</f>
        <v>71</v>
      </c>
      <c r="O2" s="95"/>
      <c r="P2" s="638" t="s">
        <v>847</v>
      </c>
      <c r="Q2" s="145"/>
      <c r="R2" s="639">
        <v>0.03</v>
      </c>
    </row>
    <row r="3" spans="1:23" ht="22.5" customHeight="1" x14ac:dyDescent="0.35">
      <c r="A3" s="833"/>
      <c r="B3" s="46"/>
      <c r="C3" s="61"/>
      <c r="D3" s="62"/>
      <c r="E3" s="904" t="s">
        <v>848</v>
      </c>
      <c r="F3" s="904"/>
      <c r="G3" s="904"/>
      <c r="H3" s="905"/>
      <c r="I3" s="45"/>
      <c r="K3" s="175" t="s">
        <v>701</v>
      </c>
      <c r="L3" s="155"/>
      <c r="M3" s="155"/>
      <c r="N3" s="175">
        <f>F19</f>
        <v>0</v>
      </c>
      <c r="O3" s="95"/>
      <c r="P3" s="638" t="s">
        <v>849</v>
      </c>
      <c r="Q3" s="145"/>
      <c r="R3" s="639">
        <v>0.06</v>
      </c>
    </row>
    <row r="4" spans="1:23" ht="17.25" customHeight="1" x14ac:dyDescent="0.35">
      <c r="A4" s="833"/>
      <c r="B4" s="46"/>
      <c r="C4" s="14"/>
      <c r="D4" s="14"/>
      <c r="E4" s="640">
        <v>1</v>
      </c>
      <c r="F4" s="640">
        <v>2</v>
      </c>
      <c r="G4" s="640">
        <v>3</v>
      </c>
      <c r="H4" s="640">
        <v>4</v>
      </c>
      <c r="I4" s="45"/>
      <c r="K4" s="95"/>
      <c r="L4" s="95"/>
      <c r="M4" s="95"/>
      <c r="N4" s="95"/>
      <c r="O4" s="95"/>
      <c r="P4" s="638" t="s">
        <v>850</v>
      </c>
      <c r="Q4" s="145"/>
      <c r="R4" s="639">
        <v>0.1</v>
      </c>
    </row>
    <row r="5" spans="1:23" ht="17.25" customHeight="1" x14ac:dyDescent="0.35">
      <c r="A5" s="833"/>
      <c r="B5" s="46"/>
      <c r="C5" s="14" t="s">
        <v>0</v>
      </c>
      <c r="D5" s="14"/>
      <c r="E5" s="71" t="s">
        <v>9</v>
      </c>
      <c r="F5" s="71" t="s">
        <v>9</v>
      </c>
      <c r="G5" s="71" t="s">
        <v>9</v>
      </c>
      <c r="H5" s="71" t="s">
        <v>9</v>
      </c>
      <c r="I5" s="45"/>
      <c r="K5" s="95"/>
      <c r="L5" s="95"/>
      <c r="M5" s="95"/>
      <c r="N5" s="95"/>
      <c r="O5" s="95"/>
      <c r="P5" s="638" t="s">
        <v>851</v>
      </c>
      <c r="Q5" s="145"/>
      <c r="R5" s="639">
        <v>0.14000000000000001</v>
      </c>
    </row>
    <row r="6" spans="1:23" ht="17.25" customHeight="1" x14ac:dyDescent="0.35">
      <c r="A6" s="833"/>
      <c r="B6" s="14"/>
      <c r="C6" s="14" t="s">
        <v>852</v>
      </c>
      <c r="D6" s="14"/>
      <c r="E6" s="71" t="s">
        <v>135</v>
      </c>
      <c r="F6" s="71" t="s">
        <v>135</v>
      </c>
      <c r="G6" s="71" t="s">
        <v>135</v>
      </c>
      <c r="H6" s="71" t="s">
        <v>135</v>
      </c>
      <c r="I6" s="45"/>
      <c r="L6" s="248" t="s">
        <v>138</v>
      </c>
    </row>
    <row r="7" spans="1:23" ht="19.5" customHeight="1" x14ac:dyDescent="0.35">
      <c r="A7" s="833"/>
      <c r="B7" s="14"/>
      <c r="C7" s="14" t="s">
        <v>853</v>
      </c>
      <c r="D7" s="642">
        <f t="shared" ref="D7" si="0">SUM(E7:H7)</f>
        <v>0</v>
      </c>
      <c r="E7" s="534"/>
      <c r="F7" s="534"/>
      <c r="G7" s="534"/>
      <c r="H7" s="534"/>
      <c r="I7" s="45"/>
      <c r="L7" s="248" t="s">
        <v>139</v>
      </c>
    </row>
    <row r="8" spans="1:23" s="2" customFormat="1" ht="20.149999999999999" customHeight="1" x14ac:dyDescent="0.35">
      <c r="A8" s="833"/>
      <c r="B8" s="14"/>
      <c r="C8" s="14" t="s">
        <v>148</v>
      </c>
      <c r="D8" s="642"/>
      <c r="E8" s="71" t="s">
        <v>20</v>
      </c>
      <c r="F8" s="71" t="s">
        <v>20</v>
      </c>
      <c r="G8" s="71" t="s">
        <v>20</v>
      </c>
      <c r="H8" s="71" t="s">
        <v>20</v>
      </c>
      <c r="I8" s="47"/>
      <c r="J8" s="19"/>
      <c r="K8" s="96"/>
      <c r="L8" s="97"/>
      <c r="M8" s="98"/>
      <c r="N8" s="98"/>
      <c r="O8" s="98"/>
      <c r="P8" s="98"/>
      <c r="Q8" s="145"/>
      <c r="R8" s="98"/>
    </row>
    <row r="9" spans="1:23" s="2" customFormat="1" ht="20.149999999999999" customHeight="1" x14ac:dyDescent="0.35">
      <c r="A9" s="833"/>
      <c r="B9" s="14"/>
      <c r="C9" s="14" t="s">
        <v>854</v>
      </c>
      <c r="D9" s="642">
        <f>SUM(E9:H9)</f>
        <v>0</v>
      </c>
      <c r="E9" s="534"/>
      <c r="F9" s="534"/>
      <c r="G9" s="534"/>
      <c r="H9" s="534"/>
      <c r="I9" s="46"/>
      <c r="K9" s="427" t="s">
        <v>855</v>
      </c>
      <c r="L9" s="427" t="s">
        <v>726</v>
      </c>
      <c r="M9" s="643" t="s">
        <v>140</v>
      </c>
      <c r="N9" s="427" t="s">
        <v>120</v>
      </c>
      <c r="O9" s="427" t="s">
        <v>141</v>
      </c>
      <c r="P9" s="427" t="s">
        <v>144</v>
      </c>
      <c r="Q9" s="427" t="s">
        <v>856</v>
      </c>
      <c r="R9" s="644" t="s">
        <v>857</v>
      </c>
      <c r="S9" s="427" t="s">
        <v>858</v>
      </c>
      <c r="T9" s="427" t="s">
        <v>859</v>
      </c>
      <c r="U9" s="427" t="s">
        <v>860</v>
      </c>
      <c r="V9" s="427" t="s">
        <v>861</v>
      </c>
      <c r="W9" s="427" t="s">
        <v>862</v>
      </c>
    </row>
    <row r="10" spans="1:23" s="2" customFormat="1" ht="20.149999999999999" customHeight="1" x14ac:dyDescent="0.35">
      <c r="A10" s="833"/>
      <c r="B10" s="14"/>
      <c r="C10" s="14" t="s">
        <v>863</v>
      </c>
      <c r="D10" s="642"/>
      <c r="E10" s="91" t="s">
        <v>138</v>
      </c>
      <c r="F10" s="91" t="s">
        <v>138</v>
      </c>
      <c r="G10" s="91" t="s">
        <v>138</v>
      </c>
      <c r="H10" s="91" t="s">
        <v>138</v>
      </c>
      <c r="I10" s="46"/>
      <c r="K10" s="427">
        <v>1</v>
      </c>
      <c r="L10" s="645">
        <f>IF(AND(E7&gt;0,E7&lt;0.5),0.5,E7)</f>
        <v>0</v>
      </c>
      <c r="M10" s="247">
        <f>IF(ISNUMBER(E$7),IF((0.8944-SQRT(L10/($E$9*10)))*0.8944&lt;0,0,(0.8944-SQRT(L10/($E$9*10)))*0.8944),0)</f>
        <v>0</v>
      </c>
      <c r="N10" s="247">
        <f ca="1">VLOOKUP(E8,INDIRECT(VLOOKUP($E$5,Konstante!$AH$68:$AL$72,2,FALSE)),VLOOKUP(L10,Konstante!$AH$75:$AI$78,2,TRUE))</f>
        <v>-12.26</v>
      </c>
      <c r="O10" s="247">
        <f ca="1">VLOOKUP(E8,INDIRECT(VLOOKUP($E$5,Konstante!$AH$68:$AL$72,4,FALSE)),VLOOKUP(L10,Konstante!$AH$75:$AI$78,2,TRUE))</f>
        <v>27.06</v>
      </c>
      <c r="P10" s="146">
        <f ca="1">(1+M10)*L10*(N10*L10+O10)*VLOOKUP(E6,Konstante!AN67:AO70,2,FALSE)*Gesamt!$E$14</f>
        <v>0</v>
      </c>
      <c r="Q10" s="145">
        <f ca="1">IF(E11="ja",0,-P10*0.1)</f>
        <v>0</v>
      </c>
      <c r="R10" s="145">
        <f>IF(E12="ja",0,-P10*0.05)</f>
        <v>0</v>
      </c>
      <c r="S10" s="145">
        <f>IF(AND(E10="ja",E9&gt;0),5.4355*IS*E9,0)</f>
        <v>0</v>
      </c>
      <c r="T10" s="145">
        <f>IF(E7&gt;0,ROUND(E13,0)*Konstante!$AK$77*Gesamt!$E$14,0)</f>
        <v>0</v>
      </c>
      <c r="U10" s="145">
        <f ca="1">SUM(P10:T10)*E14</f>
        <v>0</v>
      </c>
      <c r="V10" s="145">
        <f ca="1">SUM(P10:U10)*VLOOKUP(E15,P$1:R$5,3,FALSE)</f>
        <v>0</v>
      </c>
      <c r="W10" s="146">
        <f ca="1">SUM(P10:V10)</f>
        <v>0</v>
      </c>
    </row>
    <row r="11" spans="1:23" s="2" customFormat="1" ht="20.149999999999999" customHeight="1" x14ac:dyDescent="0.35">
      <c r="A11" s="833"/>
      <c r="B11" s="14"/>
      <c r="C11" s="14" t="s">
        <v>856</v>
      </c>
      <c r="D11" s="642"/>
      <c r="E11" s="91" t="s">
        <v>139</v>
      </c>
      <c r="F11" s="91" t="s">
        <v>139</v>
      </c>
      <c r="G11" s="91" t="s">
        <v>139</v>
      </c>
      <c r="H11" s="91" t="s">
        <v>139</v>
      </c>
      <c r="I11" s="46"/>
      <c r="K11" s="427">
        <v>2</v>
      </c>
      <c r="L11" s="645">
        <f>IF(AND(F7&gt;0,F7&lt;0.5),0.5,F7)</f>
        <v>0</v>
      </c>
      <c r="M11" s="247">
        <f>IF(ISNUMBER(F$7),IF((0.8944-SQRT(L11/($F$9*10)))*0.8944&lt;0,0,(0.8944-SQRT(L11/($F$9*10)))*0.8944),0)</f>
        <v>0</v>
      </c>
      <c r="N11" s="247">
        <f ca="1">VLOOKUP(F8,INDIRECT(VLOOKUP($F$5,Konstante!$AH$68:$AL$72,2,FALSE)),VLOOKUP(L11,Konstante!$AH$75:$AI$78,2,TRUE))</f>
        <v>-12.26</v>
      </c>
      <c r="O11" s="247">
        <f ca="1">VLOOKUP(F8,INDIRECT(VLOOKUP($F$5,Konstante!$AH$68:$AL$72,4,FALSE)),VLOOKUP(L11,Konstante!$AH$75:$AI$78,2,TRUE))</f>
        <v>27.06</v>
      </c>
      <c r="P11" s="146">
        <f ca="1">(1+M11)*L11*(N11*L11+O11)*VLOOKUP(F6,Konstante!AN67:AO70,2,FALSE)*Gesamt!$E$14</f>
        <v>0</v>
      </c>
      <c r="Q11" s="145">
        <f ca="1">IF(F11="ja",0,-P11*0.1)</f>
        <v>0</v>
      </c>
      <c r="R11" s="145">
        <f>IF(F12="ja",0,-P11*0.05)</f>
        <v>0</v>
      </c>
      <c r="S11" s="145">
        <f>IF(AND(F10="ja",F9&gt;0),5.4355*IS*F9,0)</f>
        <v>0</v>
      </c>
      <c r="T11" s="145">
        <f>IF(F7&gt;0,ROUND(F13,0)*Konstante!$AK$77*Gesamt!$E$14,0)</f>
        <v>0</v>
      </c>
      <c r="U11" s="145">
        <f ca="1">SUM(P11:T11)*F14</f>
        <v>0</v>
      </c>
      <c r="V11" s="145">
        <f ca="1">SUM(P11:U11)*VLOOKUP(F15,P$1:R$5,3,FALSE)</f>
        <v>0</v>
      </c>
      <c r="W11" s="146">
        <f ca="1">SUM(P11:V11)</f>
        <v>0</v>
      </c>
    </row>
    <row r="12" spans="1:23" s="2" customFormat="1" ht="20.149999999999999" customHeight="1" x14ac:dyDescent="0.35">
      <c r="A12" s="833"/>
      <c r="B12" s="14"/>
      <c r="C12" s="14" t="s">
        <v>864</v>
      </c>
      <c r="D12" s="642"/>
      <c r="E12" s="91" t="s">
        <v>138</v>
      </c>
      <c r="F12" s="91" t="s">
        <v>138</v>
      </c>
      <c r="G12" s="91" t="s">
        <v>138</v>
      </c>
      <c r="H12" s="91" t="s">
        <v>138</v>
      </c>
      <c r="I12" s="47"/>
      <c r="K12" s="427">
        <v>3</v>
      </c>
      <c r="L12" s="645">
        <f>IF(AND(G7&gt;0,G7&lt;0.5),0.5,G7)</f>
        <v>0</v>
      </c>
      <c r="M12" s="247">
        <f>IF(ISNUMBER(G$7),IF((0.8944-SQRT(L12/($G$9*10)))*0.8944&lt;0,0,(0.8944-SQRT(L12/($G$9*10)))*0.8944),0)</f>
        <v>0</v>
      </c>
      <c r="N12" s="247">
        <f ca="1">VLOOKUP(G8,INDIRECT(VLOOKUP($G$5,Konstante!$AH$68:$AL$72,2,FALSE)),VLOOKUP(L12,Konstante!$AH$75:$AI$78,2,TRUE))</f>
        <v>-12.26</v>
      </c>
      <c r="O12" s="247">
        <f ca="1">VLOOKUP(G8,INDIRECT(VLOOKUP($G$5,Konstante!$AH$68:$AL$72,4,FALSE)),VLOOKUP(L12,Konstante!$AH$75:$AI$78,2,TRUE))</f>
        <v>27.06</v>
      </c>
      <c r="P12" s="146">
        <f ca="1">(1+M12)*L12*(N12*L12+O12)*VLOOKUP(G6,Konstante!AN67:AO70,2,FALSE)*Gesamt!$E$14</f>
        <v>0</v>
      </c>
      <c r="Q12" s="145">
        <f ca="1">IF(G11="ja",0,-P12*0.1)</f>
        <v>0</v>
      </c>
      <c r="R12" s="145">
        <f>IF(G12="ja",0,-P12*0.05)</f>
        <v>0</v>
      </c>
      <c r="S12" s="145">
        <f>IF(AND(G10="ja",G9&gt;0),5.4355*IS*G9,0)</f>
        <v>0</v>
      </c>
      <c r="T12" s="145">
        <f>IF(G7&gt;0,ROUND(G13,0)*Konstante!$AK$77*Gesamt!$E$14,0)</f>
        <v>0</v>
      </c>
      <c r="U12" s="145">
        <f ca="1">SUM(P12:T12)*G14</f>
        <v>0</v>
      </c>
      <c r="V12" s="145">
        <f ca="1">SUM(P12:U12)*VLOOKUP(G15,P$1:R$5,3,FALSE)</f>
        <v>0</v>
      </c>
      <c r="W12" s="146">
        <f ca="1">SUM(P12:V12)</f>
        <v>0</v>
      </c>
    </row>
    <row r="13" spans="1:23" s="2" customFormat="1" ht="20.149999999999999" customHeight="1" x14ac:dyDescent="0.35">
      <c r="A13" s="833"/>
      <c r="B13" s="14"/>
      <c r="C13" s="791" t="s">
        <v>865</v>
      </c>
      <c r="D13" s="796">
        <f>SUM(ROUND(E13,0),ROUND(F13,0),ROUND(G13,0),ROUND(H13,0))</f>
        <v>0</v>
      </c>
      <c r="E13" s="793"/>
      <c r="F13" s="793"/>
      <c r="G13" s="793"/>
      <c r="H13" s="793"/>
      <c r="I13" s="47"/>
      <c r="K13" s="427">
        <v>4</v>
      </c>
      <c r="L13" s="645">
        <f>IF(AND(H7&gt;0,H7&lt;0.5),0.5,H7)</f>
        <v>0</v>
      </c>
      <c r="M13" s="247">
        <f>IF(ISNUMBER(H$7),IF((0.8944-SQRT(L13/($H$9*10)))*0.8944&lt;0,0,(0.8944-SQRT(L13/($H$9*10)))*0.8944),0)</f>
        <v>0</v>
      </c>
      <c r="N13" s="247">
        <f ca="1">VLOOKUP(H8,INDIRECT(VLOOKUP($H$5,Konstante!$AH$68:$AL$72,2,FALSE)),VLOOKUP(L13,Konstante!$AH$75:$AI$78,2,TRUE))</f>
        <v>-12.26</v>
      </c>
      <c r="O13" s="247">
        <f ca="1">VLOOKUP(H8,INDIRECT(VLOOKUP($H$5,Konstante!$AH$68:$AL$72,4,FALSE)),VLOOKUP(L13,Konstante!$AH$75:$AI$78,2,TRUE))</f>
        <v>27.06</v>
      </c>
      <c r="P13" s="146">
        <f ca="1">(1+M13)*L13*(N13*L13+O13)*VLOOKUP(H6,Konstante!AN67:AO70,2,FALSE)*Gesamt!$E$14</f>
        <v>0</v>
      </c>
      <c r="Q13" s="145">
        <f ca="1">IF(H11="ja",0,-P13*0.1)</f>
        <v>0</v>
      </c>
      <c r="R13" s="145">
        <f>IF(H12="ja",0,-P13*0.05)</f>
        <v>0</v>
      </c>
      <c r="S13" s="145">
        <f>IF(AND(H10="ja",H9&gt;0),5.4355*IS*H9,0)</f>
        <v>0</v>
      </c>
      <c r="T13" s="145">
        <f>IF(H7&gt;0,ROUND(H13,0)*Konstante!$AK$77*Gesamt!$E$14,0)</f>
        <v>0</v>
      </c>
      <c r="U13" s="145">
        <f ca="1">SUM(P13:T13)*H14</f>
        <v>0</v>
      </c>
      <c r="V13" s="145">
        <f ca="1">SUM(P13:U13)*VLOOKUP(H15,P$1:R$5,3,FALSE)</f>
        <v>0</v>
      </c>
      <c r="W13" s="146">
        <f ca="1">SUM(P13:V13)</f>
        <v>0</v>
      </c>
    </row>
    <row r="14" spans="1:23" s="2" customFormat="1" ht="20.149999999999999" customHeight="1" x14ac:dyDescent="0.35">
      <c r="A14" s="833"/>
      <c r="B14" s="14"/>
      <c r="C14" s="792" t="s">
        <v>866</v>
      </c>
      <c r="D14" s="14"/>
      <c r="E14" s="794"/>
      <c r="F14" s="794"/>
      <c r="G14" s="794"/>
      <c r="H14" s="794"/>
      <c r="I14" s="47"/>
      <c r="K14" s="100" t="s">
        <v>867</v>
      </c>
      <c r="L14" s="96"/>
      <c r="M14" s="97"/>
      <c r="N14" s="96"/>
      <c r="O14" s="99"/>
      <c r="P14" s="146">
        <f t="shared" ref="P14" si="1">IF($F19=1,SUM(P10:P13),0)</f>
        <v>0</v>
      </c>
      <c r="Q14" s="145">
        <f t="shared" ref="Q14" si="2">IF($F19=1,SUM(Q10:Q13),0)</f>
        <v>0</v>
      </c>
      <c r="S14" s="145">
        <f>IF($F19=1,SUM(S10:S13),0)</f>
        <v>0</v>
      </c>
      <c r="T14" s="145">
        <f>IF($F19=1,SUM(T10:T13),0)</f>
        <v>0</v>
      </c>
      <c r="U14" s="145">
        <f>IF($F19=1,SUM(U10:U13),0)</f>
        <v>0</v>
      </c>
      <c r="V14" s="145">
        <f>IF($F19=1,SUM(V10:V13),0)</f>
        <v>0</v>
      </c>
      <c r="W14" s="146">
        <f>IF($F19=1,SUM(W10:W13),0)</f>
        <v>0</v>
      </c>
    </row>
    <row r="15" spans="1:23" s="2" customFormat="1" ht="20.149999999999999" customHeight="1" x14ac:dyDescent="0.35">
      <c r="A15" s="833"/>
      <c r="B15" s="46"/>
      <c r="C15" s="791" t="s">
        <v>868</v>
      </c>
      <c r="D15" s="14"/>
      <c r="E15" s="795" t="s">
        <v>846</v>
      </c>
      <c r="F15" s="795" t="s">
        <v>846</v>
      </c>
      <c r="G15" s="795" t="s">
        <v>846</v>
      </c>
      <c r="H15" s="795" t="s">
        <v>846</v>
      </c>
      <c r="I15" s="47"/>
      <c r="K15" s="100" t="s">
        <v>632</v>
      </c>
      <c r="L15" s="96"/>
      <c r="M15" s="97"/>
      <c r="N15" s="96"/>
      <c r="O15" s="99"/>
      <c r="P15" s="145"/>
      <c r="S15" s="145"/>
      <c r="T15" s="145"/>
      <c r="U15" s="145"/>
      <c r="V15" s="145"/>
      <c r="W15" s="146">
        <f>IF(ISNUMBER(E17),W14*E17,0)</f>
        <v>0</v>
      </c>
    </row>
    <row r="16" spans="1:23" s="2" customFormat="1" ht="20.149999999999999" customHeight="1" x14ac:dyDescent="0.35">
      <c r="A16" s="833"/>
      <c r="B16" s="14"/>
      <c r="C16" s="14"/>
      <c r="D16" s="14"/>
      <c r="E16" s="14"/>
      <c r="F16" s="468" t="s">
        <v>633</v>
      </c>
      <c r="G16" s="46"/>
      <c r="H16" s="46"/>
      <c r="I16" s="47"/>
      <c r="K16" s="100" t="s">
        <v>869</v>
      </c>
      <c r="L16" s="96"/>
      <c r="M16" s="100"/>
      <c r="N16" s="96"/>
      <c r="O16" s="99"/>
      <c r="S16" s="145"/>
      <c r="T16" s="98"/>
      <c r="W16" s="146">
        <f>W15+W14</f>
        <v>0</v>
      </c>
    </row>
    <row r="17" spans="1:18" s="2" customFormat="1" ht="20.149999999999999" customHeight="1" x14ac:dyDescent="0.35">
      <c r="A17" s="833"/>
      <c r="B17" s="46"/>
      <c r="C17" s="46" t="s">
        <v>870</v>
      </c>
      <c r="D17" s="72"/>
      <c r="E17" s="646"/>
      <c r="F17" s="618"/>
      <c r="G17" s="647"/>
      <c r="H17" s="619"/>
      <c r="I17" s="47"/>
      <c r="K17" s="19"/>
      <c r="L17" s="96"/>
      <c r="M17" s="100"/>
      <c r="N17" s="96"/>
      <c r="O17" s="99"/>
      <c r="P17" s="98"/>
      <c r="Q17" s="145"/>
      <c r="R17" s="98"/>
    </row>
    <row r="18" spans="1:18" s="2" customFormat="1" ht="20.149999999999999" customHeight="1" x14ac:dyDescent="0.35">
      <c r="A18" s="833"/>
      <c r="B18" s="46"/>
      <c r="C18" s="46" t="s">
        <v>1</v>
      </c>
      <c r="D18" s="72"/>
      <c r="E18" s="648"/>
      <c r="F18" s="618"/>
      <c r="G18" s="647"/>
      <c r="H18" s="619"/>
      <c r="I18" s="45"/>
      <c r="J18" s="19"/>
      <c r="K18" s="649"/>
      <c r="L18" s="649"/>
      <c r="M18" s="650"/>
      <c r="N18" s="99"/>
      <c r="O18" s="145"/>
      <c r="P18" s="98"/>
      <c r="Q18" s="145"/>
      <c r="R18" s="98"/>
    </row>
    <row r="19" spans="1:18" ht="19.5" customHeight="1" x14ac:dyDescent="0.5">
      <c r="A19" s="833"/>
      <c r="B19" s="45"/>
      <c r="C19" s="54" t="str">
        <f>IF(F19=0, "UNVOLLSTÄNDIG AUSGEFÜLLT!","")</f>
        <v>UNVOLLSTÄNDIG AUSGEFÜLLT!</v>
      </c>
      <c r="D19" s="45"/>
      <c r="E19" s="45"/>
      <c r="F19" s="451">
        <f>IF(AND(E7&lt;0.01,F7&lt;0.01,G7&lt;0.01,H7&lt;0.01),0,1)</f>
        <v>0</v>
      </c>
      <c r="G19" s="906" t="str">
        <f>IF(F19&lt;&gt;0,W16+E18,"")</f>
        <v/>
      </c>
      <c r="H19" s="907"/>
      <c r="I19" s="45"/>
      <c r="K19" s="651"/>
      <c r="L19" s="652"/>
      <c r="M19" s="653"/>
    </row>
    <row r="20" spans="1:18" ht="19.5" customHeight="1" x14ac:dyDescent="0.35">
      <c r="A20" s="833"/>
      <c r="B20" s="45"/>
      <c r="C20" s="45"/>
      <c r="D20" s="45"/>
      <c r="E20" s="45"/>
      <c r="F20" s="45"/>
      <c r="G20" s="45"/>
      <c r="H20" s="45"/>
      <c r="I20" s="45"/>
      <c r="K20" s="651"/>
      <c r="L20" s="652"/>
      <c r="M20" s="654"/>
    </row>
    <row r="21" spans="1:18" ht="15.75" customHeight="1" x14ac:dyDescent="0.35">
      <c r="A21" s="830" t="s">
        <v>66</v>
      </c>
      <c r="I21" s="577" t="str">
        <f ca="1">IF(VLOOKUP(B27,CHOOSE({5,4,3,2,1},Gesamt!L32:L65,Gesamt!M32:M65,Gesamt!N32:N65,Gesamt!O32:O65,Gesamt!P32:P65,),4,0)&gt;0,CONCATENATE("Pos. ",VLOOKUP(B27,CHOOSE({5,4,3,2,1},Gesamt!L32:L65,Gesamt!M32:M65,Gesamt!N32:N65,Gesamt!O32:O65,Gesamt!P32:P65,),VLOOKUP(Gesamt!C19,Gesamt!L5:N7,3,0),0)),"")</f>
        <v/>
      </c>
    </row>
    <row r="22" spans="1:18" x14ac:dyDescent="0.35">
      <c r="A22" s="830"/>
      <c r="B22" s="831" t="str">
        <f>CONCATENATE(Gesamt!C2, ": ", Gesamt!E2)</f>
        <v xml:space="preserve">Projekt: </v>
      </c>
      <c r="C22" s="831"/>
      <c r="D22" s="831"/>
      <c r="E22" s="831"/>
      <c r="F22" s="831"/>
      <c r="G22" s="831"/>
      <c r="H22" s="831"/>
      <c r="I22" s="831"/>
    </row>
    <row r="23" spans="1:18" x14ac:dyDescent="0.35">
      <c r="A23" s="830"/>
      <c r="B23" s="832" t="str">
        <f>CONCATENATE(Gesamt!C4, ": ", Gesamt!E4, IF(Gesamt!E5&lt;&gt;""," - ",""), IF(Gesamt!E5&lt;&gt;"",Gesamt!E5,""), IF(Gesamt!E6&lt;&gt;""," - GZ. ",""), IF(Gesamt!E6&lt;&gt;"",Gesamt!E6,""),)</f>
        <v xml:space="preserve">Auftraggeber: </v>
      </c>
      <c r="C23" s="832"/>
      <c r="D23" s="832"/>
      <c r="E23" s="832"/>
      <c r="F23" s="832"/>
      <c r="G23" s="832"/>
      <c r="H23" s="832"/>
      <c r="I23" s="832"/>
    </row>
    <row r="24" spans="1:18" x14ac:dyDescent="0.35">
      <c r="A24" s="830"/>
      <c r="B24" s="832" t="str">
        <f>CONCATENATE(Gesamt!C9, ": ",Gesamt!E9,  IF(Gesamt!C10&lt;&gt;""," - ",""), IF(Gesamt!C10&lt;&gt;"",Gesamt!E10,""), IF(Gesamt!C11&lt;&gt;""," - GZ. ",""), IF(Gesamt!C11&lt;&gt;"",Gesamt!E11,""), )</f>
        <v xml:space="preserve">Bieter:  -  - GZ. </v>
      </c>
      <c r="C24" s="832"/>
      <c r="D24" s="832"/>
      <c r="E24" s="832"/>
      <c r="F24" s="832"/>
      <c r="G24" s="832"/>
      <c r="H24" s="832"/>
      <c r="I24" s="832"/>
    </row>
    <row r="25" spans="1:18" x14ac:dyDescent="0.35">
      <c r="A25" s="830"/>
      <c r="B25" s="832" t="s">
        <v>41</v>
      </c>
      <c r="C25" s="832"/>
      <c r="D25" s="832"/>
      <c r="E25" s="832"/>
      <c r="F25" s="832"/>
      <c r="G25" s="832"/>
      <c r="H25" s="832"/>
      <c r="I25" s="832"/>
    </row>
    <row r="26" spans="1:18" x14ac:dyDescent="0.35">
      <c r="A26" s="830"/>
    </row>
    <row r="27" spans="1:18" s="9" customFormat="1" ht="23.25" customHeight="1" x14ac:dyDescent="0.35">
      <c r="A27" s="830"/>
      <c r="B27" s="843" t="str">
        <f>D2</f>
        <v>Lage- und Höhenplan</v>
      </c>
      <c r="C27" s="843"/>
      <c r="D27" s="843"/>
      <c r="E27" s="843"/>
      <c r="F27" s="843"/>
      <c r="G27" s="843"/>
      <c r="H27" s="843"/>
      <c r="I27" s="843"/>
      <c r="J27" s="20"/>
      <c r="K27" s="101"/>
      <c r="L27" s="102"/>
      <c r="M27" s="103"/>
      <c r="N27" s="103"/>
      <c r="O27" s="103"/>
      <c r="P27" s="103"/>
      <c r="Q27" s="655"/>
      <c r="R27" s="103"/>
    </row>
    <row r="28" spans="1:18" x14ac:dyDescent="0.35">
      <c r="A28" s="830"/>
    </row>
    <row r="29" spans="1:18" x14ac:dyDescent="0.35">
      <c r="A29" s="830"/>
      <c r="C29" t="s">
        <v>689</v>
      </c>
    </row>
    <row r="30" spans="1:18" x14ac:dyDescent="0.35">
      <c r="A30" s="830"/>
    </row>
    <row r="31" spans="1:18" x14ac:dyDescent="0.35">
      <c r="A31" s="830"/>
      <c r="C31" t="s">
        <v>959</v>
      </c>
      <c r="E31" s="243">
        <f>IS</f>
        <v>0</v>
      </c>
    </row>
    <row r="32" spans="1:18" x14ac:dyDescent="0.35">
      <c r="A32" s="830"/>
    </row>
    <row r="33" spans="1:18" ht="7.5" customHeight="1" x14ac:dyDescent="0.35">
      <c r="A33" s="830"/>
      <c r="C33" s="30"/>
      <c r="E33" s="620"/>
      <c r="F33" s="620"/>
      <c r="G33" s="620"/>
      <c r="H33" s="620"/>
    </row>
    <row r="34" spans="1:18" x14ac:dyDescent="0.35">
      <c r="A34" s="830"/>
      <c r="C34" s="30" t="s">
        <v>871</v>
      </c>
      <c r="D34" s="621" t="s">
        <v>872</v>
      </c>
      <c r="E34" s="622">
        <f>E4</f>
        <v>1</v>
      </c>
      <c r="F34" s="622">
        <f>F4</f>
        <v>2</v>
      </c>
      <c r="G34" s="622">
        <f>G4</f>
        <v>3</v>
      </c>
      <c r="H34" s="622">
        <f>H4</f>
        <v>4</v>
      </c>
    </row>
    <row r="35" spans="1:18" ht="7.5" customHeight="1" x14ac:dyDescent="0.35">
      <c r="A35" s="830"/>
      <c r="C35" s="30"/>
      <c r="E35" s="623"/>
      <c r="F35" s="623"/>
      <c r="G35" s="623"/>
      <c r="H35" s="623"/>
    </row>
    <row r="36" spans="1:18" s="2" customFormat="1" x14ac:dyDescent="0.35">
      <c r="A36" s="830"/>
      <c r="C36" s="2" t="s">
        <v>0</v>
      </c>
      <c r="E36" s="623" t="str">
        <f>IF(E7&gt;0,E5,"")</f>
        <v/>
      </c>
      <c r="F36" s="623" t="str">
        <f t="shared" ref="F36:H36" si="3">IF(F7&gt;0,F5,"")</f>
        <v/>
      </c>
      <c r="G36" s="623" t="str">
        <f t="shared" si="3"/>
        <v/>
      </c>
      <c r="H36" s="623" t="str">
        <f t="shared" si="3"/>
        <v/>
      </c>
      <c r="J36" s="19"/>
      <c r="K36" s="96"/>
      <c r="L36" s="100"/>
      <c r="M36" s="98"/>
      <c r="N36" s="98"/>
      <c r="O36" s="98"/>
      <c r="P36" s="98"/>
      <c r="Q36" s="145"/>
      <c r="R36" s="98"/>
    </row>
    <row r="37" spans="1:18" s="2" customFormat="1" x14ac:dyDescent="0.35">
      <c r="A37" s="830"/>
      <c r="C37" s="30" t="s">
        <v>852</v>
      </c>
      <c r="E37" s="623" t="str">
        <f>IF(E7&gt;0,E6,"")</f>
        <v/>
      </c>
      <c r="F37" s="623" t="str">
        <f t="shared" ref="F37:H37" si="4">IF(F7&gt;0,F6,"")</f>
        <v/>
      </c>
      <c r="G37" s="623" t="str">
        <f t="shared" si="4"/>
        <v/>
      </c>
      <c r="H37" s="623" t="str">
        <f t="shared" si="4"/>
        <v/>
      </c>
      <c r="J37" s="19"/>
      <c r="K37" s="96"/>
      <c r="L37" s="100"/>
      <c r="M37" s="98"/>
      <c r="N37" s="98"/>
      <c r="O37" s="98"/>
      <c r="P37" s="98"/>
      <c r="Q37" s="145"/>
      <c r="R37" s="98"/>
    </row>
    <row r="38" spans="1:18" s="2" customFormat="1" x14ac:dyDescent="0.35">
      <c r="A38" s="830"/>
      <c r="C38" s="30" t="s">
        <v>853</v>
      </c>
      <c r="D38" s="624" t="str">
        <f>IF(SUM(E38:H38)&gt;0,SUM(E38:H38),"")</f>
        <v/>
      </c>
      <c r="E38" s="625" t="str">
        <f>IF(E7&gt;0,E7,"")</f>
        <v/>
      </c>
      <c r="F38" s="625" t="str">
        <f>IF(F7&gt;0,F7,"")</f>
        <v/>
      </c>
      <c r="G38" s="625" t="str">
        <f>IF(G7&gt;0,G7,"")</f>
        <v/>
      </c>
      <c r="H38" s="625" t="str">
        <f>IF(H7&gt;0,H7,"")</f>
        <v/>
      </c>
      <c r="J38" s="19"/>
      <c r="K38" s="96"/>
      <c r="L38" s="98"/>
      <c r="M38" s="98"/>
      <c r="N38" s="98"/>
      <c r="O38" s="98"/>
      <c r="P38" s="98"/>
      <c r="Q38" s="145"/>
      <c r="R38" s="98"/>
    </row>
    <row r="39" spans="1:18" s="2" customFormat="1" x14ac:dyDescent="0.35">
      <c r="A39" s="830"/>
      <c r="C39" s="30" t="s">
        <v>854</v>
      </c>
      <c r="D39" s="626" t="str">
        <f>IF(SUM(E39:H39)&gt;0,SUM(E39:H39),"")</f>
        <v/>
      </c>
      <c r="E39" s="627" t="str">
        <f>IF(AND(E9&gt;0,E7&gt;0),E9,"")</f>
        <v/>
      </c>
      <c r="F39" s="627" t="str">
        <f>IF(AND(F9&gt;0,F7&gt;0),F9,"")</f>
        <v/>
      </c>
      <c r="G39" s="627" t="str">
        <f>IF(AND(G9&gt;0,G7&gt;0),G9,"")</f>
        <v/>
      </c>
      <c r="H39" s="627" t="str">
        <f>IF(AND(H9&gt;0,H7&gt;0),H9,"")</f>
        <v/>
      </c>
      <c r="J39" s="19"/>
      <c r="K39" s="96"/>
      <c r="L39" s="98"/>
      <c r="M39" s="98"/>
      <c r="N39" s="98"/>
      <c r="O39" s="98"/>
      <c r="P39" s="98"/>
      <c r="Q39" s="145"/>
      <c r="R39" s="98"/>
    </row>
    <row r="40" spans="1:18" s="2" customFormat="1" x14ac:dyDescent="0.35">
      <c r="A40" s="830"/>
      <c r="C40" s="628" t="s">
        <v>873</v>
      </c>
      <c r="D40" s="629"/>
      <c r="E40" s="630" t="str">
        <f>IF(AND(E9&gt;0,E7&gt;0),M10,"")</f>
        <v/>
      </c>
      <c r="F40" s="630" t="str">
        <f>IF(AND(F9&gt;0,F7&gt;0),M11,"")</f>
        <v/>
      </c>
      <c r="G40" s="630" t="str">
        <f>IF(AND(G9&gt;0,G7&gt;0),M12,"")</f>
        <v/>
      </c>
      <c r="H40" s="630" t="str">
        <f>IF(AND(H9&gt;0,H7&gt;0),M13,"")</f>
        <v/>
      </c>
      <c r="J40" s="19"/>
      <c r="K40" s="96"/>
      <c r="L40" s="98"/>
      <c r="M40" s="98"/>
      <c r="N40" s="98"/>
      <c r="O40" s="98"/>
      <c r="P40" s="98"/>
      <c r="Q40" s="145"/>
      <c r="R40" s="98"/>
    </row>
    <row r="41" spans="1:18" s="2" customFormat="1" x14ac:dyDescent="0.35">
      <c r="A41" s="830"/>
      <c r="C41" s="30" t="s">
        <v>148</v>
      </c>
      <c r="E41" s="623" t="str">
        <f>IF(E7&gt;0,E8,"")</f>
        <v/>
      </c>
      <c r="F41" s="623" t="str">
        <f>IF(F7&gt;0,F8,"")</f>
        <v/>
      </c>
      <c r="G41" s="623" t="str">
        <f>IF(G7&gt;0,G8,"")</f>
        <v/>
      </c>
      <c r="H41" s="623" t="str">
        <f>IF(H7&gt;0,H8,"")</f>
        <v/>
      </c>
      <c r="J41" s="19"/>
      <c r="K41" s="96"/>
      <c r="L41" s="98"/>
      <c r="M41" s="98"/>
      <c r="N41" s="98"/>
      <c r="O41" s="98"/>
      <c r="P41" s="98"/>
      <c r="Q41" s="145"/>
      <c r="R41" s="98"/>
    </row>
    <row r="42" spans="1:18" s="629" customFormat="1" x14ac:dyDescent="0.35">
      <c r="A42" s="830"/>
      <c r="C42" s="628" t="s">
        <v>874</v>
      </c>
      <c r="E42" s="630" t="str">
        <f>IF(E7&gt;0,P10,"")</f>
        <v/>
      </c>
      <c r="F42" s="630" t="str">
        <f>IF(F7&gt;0,P11,"")</f>
        <v/>
      </c>
      <c r="G42" s="630" t="str">
        <f>IF(G7&gt;0,P12,"")</f>
        <v/>
      </c>
      <c r="H42" s="630" t="str">
        <f>IF(H7&gt;0,P13,"")</f>
        <v/>
      </c>
      <c r="J42" s="656"/>
      <c r="K42" s="657"/>
      <c r="L42" s="658"/>
      <c r="M42" s="658"/>
      <c r="N42" s="658"/>
      <c r="O42" s="658"/>
      <c r="P42" s="658"/>
      <c r="Q42" s="659"/>
      <c r="R42" s="658"/>
    </row>
    <row r="43" spans="1:18" s="2" customFormat="1" ht="12" customHeight="1" x14ac:dyDescent="0.35">
      <c r="A43" s="830"/>
      <c r="E43" s="631"/>
      <c r="F43" s="632"/>
      <c r="G43" s="632"/>
      <c r="H43" s="632"/>
      <c r="J43" s="19"/>
      <c r="K43" s="96"/>
      <c r="L43" s="98"/>
      <c r="M43" s="98"/>
      <c r="N43" s="98"/>
      <c r="O43" s="98"/>
      <c r="P43" s="98"/>
      <c r="Q43" s="145"/>
      <c r="R43" s="98"/>
    </row>
    <row r="44" spans="1:18" s="2" customFormat="1" x14ac:dyDescent="0.35">
      <c r="A44" s="830"/>
      <c r="C44" s="30" t="s">
        <v>856</v>
      </c>
      <c r="E44" s="633" t="str">
        <f>IF(E7&gt;0,E11,"")</f>
        <v/>
      </c>
      <c r="F44" s="633" t="str">
        <f>IF(F7&gt;0,F11,"")</f>
        <v/>
      </c>
      <c r="G44" s="633" t="str">
        <f>IF(G7&gt;0,G11,"")</f>
        <v/>
      </c>
      <c r="H44" s="633" t="str">
        <f>IF(H7&gt;0,H11,"")</f>
        <v/>
      </c>
      <c r="J44" s="19"/>
      <c r="K44" s="96"/>
      <c r="L44" s="98"/>
      <c r="M44" s="98"/>
      <c r="N44" s="98"/>
      <c r="O44" s="98"/>
      <c r="P44" s="98"/>
      <c r="Q44" s="145"/>
      <c r="R44" s="98"/>
    </row>
    <row r="45" spans="1:18" s="2" customFormat="1" x14ac:dyDescent="0.35">
      <c r="A45" s="830"/>
      <c r="C45" s="30" t="s">
        <v>875</v>
      </c>
      <c r="E45" s="634" t="str">
        <f>IF(AND(E7&gt;0,E11=$L$7),Q10,"")</f>
        <v/>
      </c>
      <c r="F45" s="634" t="str">
        <f>IF(AND(F7&gt;0,F11=$L$7),Q11,"")</f>
        <v/>
      </c>
      <c r="G45" s="634" t="str">
        <f>IF(AND(G7&gt;0,G11=$L$7),Q12,"")</f>
        <v/>
      </c>
      <c r="H45" s="634" t="str">
        <f>IF(AND(H7&gt;0,H11=$L$7),Q13,"")</f>
        <v/>
      </c>
      <c r="J45" s="19"/>
      <c r="K45" s="96"/>
      <c r="L45" s="98"/>
      <c r="M45" s="98"/>
      <c r="N45" s="98"/>
      <c r="O45" s="98"/>
      <c r="P45" s="98"/>
      <c r="Q45" s="145"/>
      <c r="R45" s="98"/>
    </row>
    <row r="46" spans="1:18" s="2" customFormat="1" ht="12" customHeight="1" x14ac:dyDescent="0.35">
      <c r="A46" s="830"/>
      <c r="E46" s="631"/>
      <c r="F46" s="632"/>
      <c r="G46" s="632"/>
      <c r="H46" s="632"/>
      <c r="J46" s="19"/>
      <c r="K46" s="96"/>
      <c r="L46" s="98"/>
      <c r="M46" s="98"/>
      <c r="N46" s="98"/>
      <c r="O46" s="98"/>
      <c r="P46" s="98"/>
      <c r="Q46" s="145"/>
      <c r="R46" s="98"/>
    </row>
    <row r="47" spans="1:18" s="2" customFormat="1" x14ac:dyDescent="0.35">
      <c r="A47" s="830"/>
      <c r="C47" s="30" t="s">
        <v>864</v>
      </c>
      <c r="E47" s="633" t="str">
        <f>IF(E7&gt;0,E12,"")</f>
        <v/>
      </c>
      <c r="F47" s="633" t="str">
        <f t="shared" ref="F47:H47" si="5">IF(F7&gt;0,F12,"")</f>
        <v/>
      </c>
      <c r="G47" s="633" t="str">
        <f t="shared" si="5"/>
        <v/>
      </c>
      <c r="H47" s="633" t="str">
        <f t="shared" si="5"/>
        <v/>
      </c>
      <c r="J47" s="19"/>
      <c r="K47" s="96"/>
      <c r="L47" s="98"/>
      <c r="M47" s="98"/>
      <c r="N47" s="98"/>
      <c r="O47" s="98"/>
      <c r="P47" s="98"/>
      <c r="Q47" s="145"/>
      <c r="R47" s="98"/>
    </row>
    <row r="48" spans="1:18" s="2" customFormat="1" x14ac:dyDescent="0.35">
      <c r="A48" s="830"/>
      <c r="C48" s="30" t="s">
        <v>875</v>
      </c>
      <c r="E48" s="634" t="str">
        <f>IF(AND(E7&gt;0,E12=$L$7),R10,"")</f>
        <v/>
      </c>
      <c r="F48" s="634" t="str">
        <f>IF(AND(F7&gt;0,F12=$L$7),R11,"")</f>
        <v/>
      </c>
      <c r="G48" s="634" t="str">
        <f>IF(AND(G7&gt;0,G12=$L$7),R12,"")</f>
        <v/>
      </c>
      <c r="H48" s="634" t="str">
        <f>IF(AND(H7&gt;0,H12=$L$7),R13,"")</f>
        <v/>
      </c>
      <c r="J48" s="19"/>
      <c r="K48" s="96"/>
      <c r="L48" s="98"/>
      <c r="M48" s="98"/>
      <c r="N48" s="98"/>
      <c r="O48" s="98"/>
      <c r="P48" s="98"/>
      <c r="Q48" s="145"/>
      <c r="R48" s="98"/>
    </row>
    <row r="49" spans="1:18" s="2" customFormat="1" ht="12" customHeight="1" x14ac:dyDescent="0.35">
      <c r="A49" s="830"/>
      <c r="E49" s="631"/>
      <c r="F49" s="632"/>
      <c r="G49" s="632"/>
      <c r="H49" s="632"/>
      <c r="J49" s="19"/>
      <c r="K49" s="96"/>
      <c r="L49" s="98"/>
      <c r="M49" s="98"/>
      <c r="N49" s="98"/>
      <c r="O49" s="98"/>
      <c r="P49" s="98"/>
      <c r="Q49" s="145"/>
      <c r="R49" s="98"/>
    </row>
    <row r="50" spans="1:18" s="2" customFormat="1" x14ac:dyDescent="0.35">
      <c r="A50" s="830"/>
      <c r="C50" s="2" t="s">
        <v>863</v>
      </c>
      <c r="E50" s="633" t="str">
        <f>IF(AND(E7&gt;0,E9&gt;0),E10,"")</f>
        <v/>
      </c>
      <c r="F50" s="633" t="str">
        <f t="shared" ref="F50:H50" si="6">IF(AND(F7&gt;0,F9&gt;0),F10,"")</f>
        <v/>
      </c>
      <c r="G50" s="633" t="str">
        <f t="shared" si="6"/>
        <v/>
      </c>
      <c r="H50" s="633" t="str">
        <f t="shared" si="6"/>
        <v/>
      </c>
      <c r="J50" s="19"/>
      <c r="K50" s="96"/>
      <c r="L50" s="98"/>
      <c r="M50" s="98"/>
      <c r="N50" s="98"/>
      <c r="O50" s="98"/>
      <c r="P50" s="98"/>
      <c r="Q50" s="145"/>
      <c r="R50" s="98"/>
    </row>
    <row r="51" spans="1:18" s="2" customFormat="1" x14ac:dyDescent="0.35">
      <c r="A51" s="830"/>
      <c r="C51" s="30" t="s">
        <v>876</v>
      </c>
      <c r="E51" s="634" t="str">
        <f>IF(AND(E7&gt;0,E9&gt;0,E10=$L$6),S10,"")</f>
        <v/>
      </c>
      <c r="F51" s="634" t="str">
        <f>IF(AND(F7&gt;0,F9&gt;0,F10=$L$6),S11,"")</f>
        <v/>
      </c>
      <c r="G51" s="634" t="str">
        <f>IF(AND(G7&gt;0,G9&gt;0,G10=$L$6),S12,"")</f>
        <v/>
      </c>
      <c r="H51" s="634" t="str">
        <f>IF(AND(H7&gt;0,H9&gt;0,H10=$L$6),S13,"")</f>
        <v/>
      </c>
      <c r="J51" s="19"/>
      <c r="K51" s="96"/>
      <c r="L51" s="98"/>
      <c r="M51" s="98"/>
      <c r="N51" s="98"/>
      <c r="O51" s="98"/>
      <c r="P51" s="98"/>
      <c r="Q51" s="145"/>
      <c r="R51" s="98"/>
    </row>
    <row r="52" spans="1:18" s="2" customFormat="1" ht="12" customHeight="1" x14ac:dyDescent="0.35">
      <c r="A52" s="830"/>
      <c r="E52" s="631"/>
      <c r="F52" s="632"/>
      <c r="G52" s="632"/>
      <c r="H52" s="632"/>
      <c r="J52" s="19"/>
      <c r="K52" s="96"/>
      <c r="L52" s="98"/>
      <c r="M52" s="98"/>
      <c r="N52" s="98"/>
      <c r="O52" s="98"/>
      <c r="P52" s="98"/>
      <c r="Q52" s="145"/>
      <c r="R52" s="98"/>
    </row>
    <row r="53" spans="1:18" s="797" customFormat="1" x14ac:dyDescent="0.35">
      <c r="A53" s="830"/>
      <c r="C53" s="797" t="s">
        <v>865</v>
      </c>
      <c r="D53" s="798" t="str">
        <f>IF(SUM(E53:H53)&gt;0,SUM(E53:H53),"")</f>
        <v/>
      </c>
      <c r="E53" s="799" t="str">
        <f>IF(AND(E7&gt;0,E13&gt;0),E13,"")</f>
        <v/>
      </c>
      <c r="F53" s="799" t="str">
        <f>IF(AND(F7&gt;0,F13&gt;0),F13,"")</f>
        <v/>
      </c>
      <c r="G53" s="799" t="str">
        <f>IF(AND(G7&gt;0,G13&gt;0),G13,"")</f>
        <v/>
      </c>
      <c r="H53" s="799" t="str">
        <f>IF(AND(H7&gt;0,H13&gt;0),H13,"")</f>
        <v/>
      </c>
      <c r="K53" s="800"/>
      <c r="Q53" s="801"/>
    </row>
    <row r="54" spans="1:18" s="797" customFormat="1" x14ac:dyDescent="0.35">
      <c r="A54" s="830"/>
      <c r="C54" s="797" t="s">
        <v>877</v>
      </c>
      <c r="E54" s="802" t="str">
        <f>IF(AND(E7&gt;0,E13&gt;0),T10,"")</f>
        <v/>
      </c>
      <c r="F54" s="802" t="str">
        <f>IF(AND(F7&gt;0,F13&gt;0),T11,"")</f>
        <v/>
      </c>
      <c r="G54" s="802" t="str">
        <f>IF(AND(G7&gt;0,G13&gt;0),T12,"")</f>
        <v/>
      </c>
      <c r="H54" s="802" t="str">
        <f>IF(AND(H7&gt;0,H13&gt;0),T13,"")</f>
        <v/>
      </c>
      <c r="K54" s="800"/>
      <c r="Q54" s="801"/>
    </row>
    <row r="55" spans="1:18" s="797" customFormat="1" ht="12" customHeight="1" x14ac:dyDescent="0.35">
      <c r="A55" s="830"/>
      <c r="E55" s="803"/>
      <c r="F55" s="804"/>
      <c r="G55" s="804"/>
      <c r="H55" s="804"/>
      <c r="K55" s="800"/>
      <c r="Q55" s="801"/>
    </row>
    <row r="56" spans="1:18" s="797" customFormat="1" x14ac:dyDescent="0.35">
      <c r="A56" s="830"/>
      <c r="C56" s="797" t="s">
        <v>878</v>
      </c>
      <c r="E56" s="805" t="str">
        <f>IF(AND(E7&gt;0,E14&lt;&gt;0),E14,"")</f>
        <v/>
      </c>
      <c r="F56" s="805" t="str">
        <f>IF(AND(F7&gt;0,F14&lt;&gt;0),F14,"")</f>
        <v/>
      </c>
      <c r="G56" s="805" t="str">
        <f>IF(AND(G7&gt;0,G14&lt;&gt;0),G14,"")</f>
        <v/>
      </c>
      <c r="H56" s="805" t="str">
        <f>IF(AND(H7&gt;0,H14&lt;&gt;0),H14,"")</f>
        <v/>
      </c>
      <c r="K56" s="800"/>
      <c r="Q56" s="801"/>
    </row>
    <row r="57" spans="1:18" s="797" customFormat="1" x14ac:dyDescent="0.35">
      <c r="A57" s="830"/>
      <c r="C57" s="797" t="s">
        <v>875</v>
      </c>
      <c r="E57" s="802" t="str">
        <f>IF(AND(E7&gt;0,E14&lt;&gt;0),U10,"")</f>
        <v/>
      </c>
      <c r="F57" s="802" t="str">
        <f>IF(AND(F7&gt;0,F14&lt;&gt;0),U11,"")</f>
        <v/>
      </c>
      <c r="G57" s="802" t="str">
        <f>IF(AND(G7&gt;0,G14&lt;&gt;0),U12,"")</f>
        <v/>
      </c>
      <c r="H57" s="802" t="str">
        <f>IF(AND(H7&gt;0,H14&lt;&gt;0),U13,"")</f>
        <v/>
      </c>
      <c r="K57" s="800"/>
      <c r="Q57" s="801"/>
    </row>
    <row r="58" spans="1:18" s="797" customFormat="1" ht="12" customHeight="1" x14ac:dyDescent="0.35">
      <c r="A58" s="830"/>
      <c r="E58" s="803"/>
      <c r="F58" s="804"/>
      <c r="G58" s="804"/>
      <c r="H58" s="804"/>
      <c r="K58" s="800"/>
      <c r="Q58" s="801"/>
    </row>
    <row r="59" spans="1:18" s="797" customFormat="1" x14ac:dyDescent="0.35">
      <c r="A59" s="830"/>
      <c r="C59" s="797" t="s">
        <v>879</v>
      </c>
      <c r="E59" s="805" t="str">
        <f ca="1">IF(AND(E7&gt;0,V10&gt;0),VLOOKUP(E15,$P$1:$R$5,3,FALSE),"")</f>
        <v/>
      </c>
      <c r="F59" s="805" t="str">
        <f ca="1">IF(AND(F7&gt;0,V11&gt;0),VLOOKUP(F15,$P$1:$R$5,3,FALSE),"")</f>
        <v/>
      </c>
      <c r="G59" s="805" t="str">
        <f ca="1">IF(AND(G7&gt;0,V12&gt;0),VLOOKUP(G15,$P$1:$R$5,3,FALSE),"")</f>
        <v/>
      </c>
      <c r="H59" s="805" t="str">
        <f ca="1">IF(AND(H7&gt;0,V13&gt;0),VLOOKUP(H15,$P$1:$R$5,3,FALSE),"")</f>
        <v/>
      </c>
      <c r="K59" s="800"/>
      <c r="Q59" s="801"/>
    </row>
    <row r="60" spans="1:18" s="797" customFormat="1" x14ac:dyDescent="0.35">
      <c r="A60" s="830"/>
      <c r="C60" s="806" t="s">
        <v>880</v>
      </c>
      <c r="E60" s="807" t="str">
        <f ca="1">IF(AND(E7&gt;0,V10&gt;0),E15,"")</f>
        <v/>
      </c>
      <c r="F60" s="807" t="str">
        <f ca="1">IF(AND(F7&gt;0,V11&gt;0),F15,"")</f>
        <v/>
      </c>
      <c r="G60" s="807" t="str">
        <f ca="1">IF(AND(G7&gt;0,V12&gt;0),G15,"")</f>
        <v/>
      </c>
      <c r="H60" s="807" t="str">
        <f ca="1">IF(AND(H7&gt;0,V13&gt;0),H15,"")</f>
        <v/>
      </c>
      <c r="K60" s="800"/>
      <c r="Q60" s="801"/>
    </row>
    <row r="61" spans="1:18" s="797" customFormat="1" x14ac:dyDescent="0.35">
      <c r="A61" s="830"/>
      <c r="C61" s="797" t="s">
        <v>881</v>
      </c>
      <c r="E61" s="802" t="str">
        <f ca="1">IF(AND(E7&gt;0,V10&gt;0),V10,"")</f>
        <v/>
      </c>
      <c r="F61" s="802" t="str">
        <f ca="1">IF(AND(F7&gt;0,V11&gt;0),V11,"")</f>
        <v/>
      </c>
      <c r="G61" s="802" t="str">
        <f ca="1">IF(AND(G7&gt;0,V12&gt;0),V12,"")</f>
        <v/>
      </c>
      <c r="H61" s="802" t="str">
        <f ca="1">IF(AND(H7&gt;0,V13&gt;0),V13,"")</f>
        <v/>
      </c>
      <c r="K61" s="808"/>
      <c r="Q61" s="801"/>
    </row>
    <row r="62" spans="1:18" s="2" customFormat="1" ht="12" customHeight="1" x14ac:dyDescent="0.25">
      <c r="A62" s="830"/>
      <c r="E62" s="631"/>
      <c r="F62" s="632"/>
      <c r="G62" s="632"/>
      <c r="H62" s="632"/>
      <c r="J62" s="19"/>
      <c r="L62" s="661"/>
      <c r="M62" s="661"/>
      <c r="N62" s="661"/>
      <c r="O62" s="660"/>
      <c r="P62" s="98"/>
      <c r="Q62" s="145"/>
      <c r="R62" s="98"/>
    </row>
    <row r="63" spans="1:18" s="629" customFormat="1" x14ac:dyDescent="0.25">
      <c r="A63" s="830"/>
      <c r="C63" s="628" t="s">
        <v>874</v>
      </c>
      <c r="E63" s="630" t="str">
        <f>IF(E7&gt;0,W10,"")</f>
        <v/>
      </c>
      <c r="F63" s="630" t="str">
        <f>IF(F7&gt;0,W11,"")</f>
        <v/>
      </c>
      <c r="G63" s="630" t="str">
        <f>IF(G7&gt;0,W12,"")</f>
        <v/>
      </c>
      <c r="H63" s="630" t="str">
        <f>IF(H7&gt;0,W13,"")</f>
        <v/>
      </c>
      <c r="J63" s="656"/>
      <c r="L63" s="661"/>
      <c r="M63" s="662"/>
      <c r="N63" s="661"/>
      <c r="O63" s="663"/>
      <c r="Q63" s="659"/>
      <c r="R63" s="658"/>
    </row>
    <row r="64" spans="1:18" x14ac:dyDescent="0.35">
      <c r="A64" s="830"/>
      <c r="C64" s="150"/>
      <c r="D64" s="150"/>
      <c r="E64" s="635"/>
      <c r="F64" s="636"/>
      <c r="G64" s="636"/>
      <c r="H64" s="636"/>
      <c r="K64" s="253"/>
      <c r="L64" s="254"/>
      <c r="M64" s="254"/>
      <c r="N64" s="254"/>
      <c r="O64" s="254"/>
    </row>
    <row r="65" spans="1:18" x14ac:dyDescent="0.35">
      <c r="A65" s="830"/>
      <c r="K65" s="119"/>
    </row>
    <row r="66" spans="1:18" s="3" customFormat="1" x14ac:dyDescent="0.35">
      <c r="A66" s="830"/>
      <c r="C66" t="s">
        <v>60</v>
      </c>
      <c r="D66"/>
      <c r="E66" s="118">
        <f>IF(F19&lt;&gt;0,ROUND(SUM(E63:H63),2),0)</f>
        <v>0</v>
      </c>
      <c r="F66" s="637"/>
      <c r="G66" s="122"/>
      <c r="H66" s="122"/>
      <c r="J66" s="23"/>
      <c r="K66" s="120"/>
      <c r="L66" s="104"/>
      <c r="M66" s="105"/>
      <c r="N66" s="105"/>
      <c r="O66" s="105"/>
      <c r="P66" s="105"/>
      <c r="Q66" s="664"/>
      <c r="R66" s="105"/>
    </row>
    <row r="67" spans="1:18" x14ac:dyDescent="0.35">
      <c r="A67" s="830"/>
      <c r="C67" t="str">
        <f>IF(E17&gt;0,CONCATENATE(E17*100,"% Zuschlag:"),IF(E17&lt;0,CONCATENATE(E17*100,"% Abschlag:"),""))</f>
        <v/>
      </c>
      <c r="E67" s="118" t="str">
        <f>IF(E17&lt;&gt;0,ROUND(W15,2),"")</f>
        <v/>
      </c>
      <c r="F67" t="str">
        <f>IF(AND(E17&lt;&gt;0,F17&lt;&gt;""),F17,"")</f>
        <v/>
      </c>
      <c r="K67" s="119"/>
    </row>
    <row r="68" spans="1:18" x14ac:dyDescent="0.35">
      <c r="A68" s="830"/>
      <c r="C68" t="str">
        <f>IF(E18&gt;0,"Nebenkosten:","")</f>
        <v/>
      </c>
      <c r="E68" s="118" t="str">
        <f>IF(E18&gt;0,ROUND(E18,2),"")</f>
        <v/>
      </c>
      <c r="F68" t="str">
        <f>IF(AND(E18&lt;&gt;0,F18&lt;&gt;""),F18,"")</f>
        <v/>
      </c>
    </row>
    <row r="69" spans="1:18" x14ac:dyDescent="0.35">
      <c r="A69" s="830"/>
      <c r="F69" s="118"/>
    </row>
    <row r="70" spans="1:18" x14ac:dyDescent="0.35">
      <c r="A70" s="830"/>
      <c r="C70" s="55"/>
      <c r="D70" s="55"/>
      <c r="E70" s="55"/>
      <c r="F70" s="55"/>
      <c r="G70" s="55"/>
      <c r="H70" s="55"/>
    </row>
    <row r="71" spans="1:18" s="11" customFormat="1" ht="15.5" x14ac:dyDescent="0.35">
      <c r="A71" s="830"/>
      <c r="C71" s="16" t="s">
        <v>65</v>
      </c>
      <c r="D71" s="110"/>
      <c r="E71" s="110"/>
      <c r="F71" s="113"/>
      <c r="G71" s="842">
        <f>IF(F19=1,SUM(E66:E69),0)</f>
        <v>0</v>
      </c>
      <c r="H71" s="842"/>
      <c r="J71" s="114"/>
      <c r="K71" s="115"/>
      <c r="L71" s="116"/>
      <c r="M71" s="117"/>
      <c r="N71" s="117"/>
      <c r="O71" s="117"/>
      <c r="P71" s="117"/>
      <c r="Q71" s="665"/>
      <c r="R71" s="117"/>
    </row>
  </sheetData>
  <mergeCells count="10">
    <mergeCell ref="B27:I27"/>
    <mergeCell ref="A21:A71"/>
    <mergeCell ref="E3:H3"/>
    <mergeCell ref="G19:H19"/>
    <mergeCell ref="G71:H71"/>
    <mergeCell ref="A1:A20"/>
    <mergeCell ref="B22:I22"/>
    <mergeCell ref="B23:I23"/>
    <mergeCell ref="B24:I24"/>
    <mergeCell ref="B25:I25"/>
  </mergeCells>
  <dataValidations count="7">
    <dataValidation type="list" allowBlank="1" showInputMessage="1" showErrorMessage="1" sqref="E16 E10:H12" xr:uid="{00000000-0002-0000-0B00-000000000000}">
      <formula1>$L$6:$L$7</formula1>
    </dataValidation>
    <dataValidation type="decimal" allowBlank="1" showInputMessage="1" showErrorMessage="1" errorTitle="Ab-/Zuschlag (Vorzeichen beachte" error="Wert zwischen -100 und 100 eingeben!" sqref="E17" xr:uid="{00000000-0002-0000-0B00-000001000000}">
      <formula1>-100.00000000001</formula1>
      <formula2>100.0000000001</formula2>
    </dataValidation>
    <dataValidation type="decimal" allowBlank="1" showInputMessage="1" showErrorMessage="1" errorTitle="Reambulierungsab/zuschlag" error="Wert zwischen -100 und 100 eingeben!" sqref="E14:H14" xr:uid="{00000000-0002-0000-0B00-000002000000}">
      <formula1>-100.00000000001</formula1>
      <formula2>100.0000000001</formula2>
    </dataValidation>
    <dataValidation type="whole" operator="greaterThanOrEqual" allowBlank="1" showInputMessage="1" showErrorMessage="1" errorTitle="Detailpunkte (Zwangspunkte)" error="Positive Zahl größer/gleich 0 eingeben!" sqref="E13:H13" xr:uid="{00000000-0002-0000-0B00-000003000000}">
      <formula1>0</formula1>
    </dataValidation>
    <dataValidation type="decimal" operator="greaterThanOrEqual" allowBlank="1" showInputMessage="1" showErrorMessage="1" errorTitle="Länge des Aufnahmebereiches " error="Positive Zahl eingeben (=Länge des Polygonzuges in [km])" promptTitle="Länge des Aufnahmebereiches " sqref="E9:H9" xr:uid="{00000000-0002-0000-0B00-000004000000}">
      <formula1>0</formula1>
    </dataValidation>
    <dataValidation type="decimal" operator="greaterThanOrEqual" allowBlank="1" showInputMessage="1" showErrorMessage="1" error="Fäche ab 0,5ha eingeben!_x000a_(kleinere Flächen werden mit Mindestgröße 0,5ha berechnet!)" promptTitle="Fläche in [ha]" sqref="E7:H7" xr:uid="{00000000-0002-0000-0B00-000005000000}">
      <formula1>0</formula1>
    </dataValidation>
    <dataValidation type="list" allowBlank="1" showInputMessage="1" showErrorMessage="1" promptTitle="Verkehrszuschlag" sqref="E15:H15" xr:uid="{00000000-0002-0000-0B00-000006000000}">
      <formula1>$P$1:$P$5</formula1>
    </dataValidation>
  </dataValidations>
  <pageMargins left="0.70866141732283472" right="0.39370078740157483" top="0.59055118110236227" bottom="0.59055118110236227" header="0.31496062992125984" footer="0.31496062992125984"/>
  <pageSetup paperSize="9" orientation="portrait" r:id="rId1"/>
  <headerFooter>
    <oddFooter>&amp;L&amp;9&amp;F, &amp;A&amp;R&amp;9&amp;D</oddFooter>
  </headerFooter>
  <legacyDrawing r:id="rId2"/>
  <legacyDrawingHF r:id="rId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B00-000007000000}">
          <x14:formula1>
            <xm:f>Konstante!$AH$68:$AH$72</xm:f>
          </x14:formula1>
          <xm:sqref>E5:H5</xm:sqref>
        </x14:dataValidation>
        <x14:dataValidation type="list" allowBlank="1" showInputMessage="1" showErrorMessage="1" xr:uid="{00000000-0002-0000-0B00-000008000000}">
          <x14:formula1>
            <xm:f>Konstante!$C$70:$C$78</xm:f>
          </x14:formula1>
          <xm:sqref>E8:H8</xm:sqref>
        </x14:dataValidation>
        <x14:dataValidation type="list" allowBlank="1" showInputMessage="1" showErrorMessage="1" xr:uid="{00000000-0002-0000-0B00-000009000000}">
          <x14:formula1>
            <xm:f>Konstante!$AN$67:$AN$70</xm:f>
          </x14:formula1>
          <xm:sqref>E6:H6</xm:sqref>
        </x14:dataValidation>
      </x14:dataValidations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76F132-ABBC-4040-A3C0-1B79C589C96E}">
  <dimension ref="A1:R64"/>
  <sheetViews>
    <sheetView zoomScaleNormal="100" zoomScaleSheetLayoutView="100" workbookViewId="0">
      <selection activeCell="E6" sqref="E6"/>
    </sheetView>
  </sheetViews>
  <sheetFormatPr baseColWidth="10" defaultRowHeight="14.5" x14ac:dyDescent="0.35"/>
  <cols>
    <col min="1" max="1" width="4" customWidth="1"/>
    <col min="2" max="2" width="6.7265625" customWidth="1"/>
    <col min="3" max="8" width="12.7265625" customWidth="1"/>
    <col min="9" max="9" width="5.7265625" customWidth="1"/>
    <col min="10" max="10" width="8.7265625" style="18" customWidth="1"/>
    <col min="11" max="11" width="11.453125" style="92"/>
    <col min="12" max="12" width="11.453125" style="93"/>
    <col min="13" max="18" width="11.453125" style="94"/>
  </cols>
  <sheetData>
    <row r="1" spans="1:18" ht="17.25" customHeight="1" x14ac:dyDescent="0.35">
      <c r="A1" s="833" t="s">
        <v>35</v>
      </c>
      <c r="B1" s="45"/>
      <c r="C1" s="45"/>
      <c r="D1" s="45"/>
      <c r="E1" s="45"/>
      <c r="F1" s="45"/>
      <c r="G1" s="45"/>
      <c r="H1" s="45"/>
      <c r="I1" s="45"/>
      <c r="K1" s="93" t="s">
        <v>699</v>
      </c>
      <c r="M1" s="93"/>
      <c r="N1" s="94">
        <f ca="1">CELL("ZEILE",B27)</f>
        <v>27</v>
      </c>
    </row>
    <row r="2" spans="1:18" ht="22.5" customHeight="1" x14ac:dyDescent="0.35">
      <c r="A2" s="833"/>
      <c r="B2" s="46"/>
      <c r="C2" s="47" t="s">
        <v>36</v>
      </c>
      <c r="D2" s="864" t="s">
        <v>1040</v>
      </c>
      <c r="E2" s="865"/>
      <c r="F2" s="865"/>
      <c r="G2" s="865"/>
      <c r="H2" s="866"/>
      <c r="I2" s="45"/>
      <c r="K2" s="175" t="s">
        <v>700</v>
      </c>
      <c r="L2" s="155"/>
      <c r="M2" s="155"/>
      <c r="N2" s="175">
        <f ca="1">CELL("ZEILE",G58)</f>
        <v>58</v>
      </c>
      <c r="O2" s="95"/>
      <c r="P2" s="95"/>
    </row>
    <row r="3" spans="1:18" ht="22.5" customHeight="1" x14ac:dyDescent="0.35">
      <c r="A3" s="833"/>
      <c r="B3" s="46"/>
      <c r="C3" s="61"/>
      <c r="D3" s="14"/>
      <c r="E3" s="14"/>
      <c r="F3" s="14"/>
      <c r="G3" s="14"/>
      <c r="H3" s="14"/>
      <c r="I3" s="45"/>
      <c r="K3" s="175" t="s">
        <v>701</v>
      </c>
      <c r="L3" s="155"/>
      <c r="M3" s="155"/>
      <c r="N3" s="175">
        <f>F19</f>
        <v>0</v>
      </c>
      <c r="O3" s="95"/>
      <c r="P3" s="95"/>
    </row>
    <row r="4" spans="1:18" ht="17.25" customHeight="1" x14ac:dyDescent="0.35">
      <c r="A4" s="833"/>
      <c r="B4" s="63"/>
      <c r="C4" s="14"/>
      <c r="D4" s="14"/>
      <c r="E4" s="14"/>
      <c r="F4" s="14"/>
      <c r="G4" s="14"/>
      <c r="H4" s="14"/>
      <c r="I4" s="64"/>
      <c r="K4" s="175" t="s">
        <v>1060</v>
      </c>
      <c r="L4" s="95"/>
      <c r="M4" s="95"/>
      <c r="N4" s="95">
        <f>((Qe+Qv)^0.4+1)*IS</f>
        <v>0</v>
      </c>
      <c r="O4" s="95"/>
      <c r="P4" s="95"/>
      <c r="Q4" s="95"/>
    </row>
    <row r="5" spans="1:18" ht="19.5" customHeight="1" x14ac:dyDescent="0.35">
      <c r="A5" s="833"/>
      <c r="B5" s="63"/>
      <c r="C5" s="14"/>
      <c r="D5" s="70"/>
      <c r="E5" s="130"/>
      <c r="F5" s="130"/>
      <c r="G5" s="14"/>
      <c r="H5" s="14"/>
      <c r="I5" s="64"/>
      <c r="K5" s="175" t="s">
        <v>1069</v>
      </c>
      <c r="N5" s="94">
        <f>IF(Qe&gt;0,(((Qe+Qv)*5*f*D^0.5)^0.5)*IS,0)</f>
        <v>0</v>
      </c>
    </row>
    <row r="6" spans="1:18" s="2" customFormat="1" ht="20.149999999999999" customHeight="1" x14ac:dyDescent="0.35">
      <c r="A6" s="833"/>
      <c r="B6" s="63"/>
      <c r="C6" s="14"/>
      <c r="D6" s="70" t="s">
        <v>1066</v>
      </c>
      <c r="E6" s="129"/>
      <c r="F6" s="13" t="s">
        <v>1063</v>
      </c>
      <c r="G6" s="14"/>
      <c r="H6" s="14"/>
      <c r="I6" s="64"/>
      <c r="J6" s="19"/>
      <c r="K6" s="175" t="s">
        <v>1070</v>
      </c>
      <c r="L6" s="93"/>
      <c r="M6" s="94"/>
      <c r="N6" s="94">
        <f>Qv*AO*0.5*IS</f>
        <v>0</v>
      </c>
    </row>
    <row r="7" spans="1:18" s="2" customFormat="1" ht="20.149999999999999" customHeight="1" x14ac:dyDescent="0.35">
      <c r="A7" s="833"/>
      <c r="B7" s="63"/>
      <c r="C7" s="14"/>
      <c r="D7" s="70" t="s">
        <v>1065</v>
      </c>
      <c r="E7" s="129"/>
      <c r="F7" s="13" t="s">
        <v>1063</v>
      </c>
      <c r="G7" s="14"/>
      <c r="H7" s="14"/>
      <c r="I7" s="64"/>
      <c r="J7" s="19"/>
      <c r="K7" s="96"/>
      <c r="L7" s="97"/>
      <c r="M7" s="98"/>
      <c r="N7" s="69"/>
    </row>
    <row r="8" spans="1:18" s="2" customFormat="1" ht="20.149999999999999" customHeight="1" x14ac:dyDescent="0.35">
      <c r="A8" s="833"/>
      <c r="B8" s="63"/>
      <c r="C8" s="64"/>
      <c r="D8" s="64"/>
      <c r="E8" s="64"/>
      <c r="F8" s="64"/>
      <c r="G8" s="64"/>
      <c r="H8" s="64"/>
      <c r="I8" s="64"/>
      <c r="J8" s="19"/>
      <c r="K8" s="96"/>
      <c r="L8" s="97"/>
      <c r="M8" s="98"/>
      <c r="N8" s="98">
        <f xml:space="preserve"> ((( Qe + Qv)^0.4 + 1) + ((Qe + Qv) * 5 * f * D^0.5)^0.5 + Qv * AO * 0.5) * IS</f>
        <v>0</v>
      </c>
      <c r="O8" s="98"/>
      <c r="P8" s="98"/>
      <c r="Q8" s="98"/>
      <c r="R8" s="98"/>
    </row>
    <row r="9" spans="1:18" s="2" customFormat="1" ht="20.149999999999999" customHeight="1" x14ac:dyDescent="0.35">
      <c r="A9" s="833"/>
      <c r="B9" s="63"/>
      <c r="C9" s="63"/>
      <c r="D9" s="70" t="s">
        <v>1064</v>
      </c>
      <c r="E9" s="129"/>
      <c r="F9" s="13" t="s">
        <v>1067</v>
      </c>
      <c r="G9" s="14"/>
      <c r="H9" s="14"/>
      <c r="I9" s="64"/>
      <c r="J9" s="19"/>
      <c r="K9" s="96"/>
      <c r="L9" s="94"/>
      <c r="M9" s="94"/>
      <c r="O9" s="98"/>
      <c r="P9" s="98"/>
      <c r="Q9" s="98"/>
      <c r="R9" s="98"/>
    </row>
    <row r="10" spans="1:18" s="2" customFormat="1" ht="20.149999999999999" customHeight="1" x14ac:dyDescent="0.35">
      <c r="A10" s="833"/>
      <c r="B10" s="63"/>
      <c r="C10" s="63"/>
      <c r="D10" s="70" t="s">
        <v>1073</v>
      </c>
      <c r="E10" s="129"/>
      <c r="F10" s="13" t="s">
        <v>1068</v>
      </c>
      <c r="G10" s="14"/>
      <c r="H10" s="14"/>
      <c r="I10" s="64"/>
      <c r="J10" s="19"/>
      <c r="K10" s="96"/>
      <c r="L10" s="94"/>
      <c r="M10" s="94"/>
      <c r="N10" s="98"/>
      <c r="O10" s="98"/>
      <c r="P10" s="98"/>
      <c r="Q10" s="98"/>
      <c r="R10" s="98"/>
    </row>
    <row r="11" spans="1:18" s="2" customFormat="1" ht="20.149999999999999" customHeight="1" x14ac:dyDescent="0.35">
      <c r="A11" s="833"/>
      <c r="B11" s="63"/>
      <c r="C11" s="63"/>
      <c r="D11" s="14"/>
      <c r="E11" s="14"/>
      <c r="F11" s="14"/>
      <c r="G11" s="14"/>
      <c r="H11" s="14"/>
      <c r="I11" s="64"/>
      <c r="J11" s="19"/>
      <c r="K11" s="96"/>
      <c r="L11" s="94"/>
      <c r="M11" s="96"/>
      <c r="N11" s="98"/>
      <c r="O11" s="98"/>
      <c r="P11" s="98"/>
      <c r="Q11" s="98"/>
      <c r="R11" s="98"/>
    </row>
    <row r="12" spans="1:18" s="2" customFormat="1" ht="20.149999999999999" customHeight="1" x14ac:dyDescent="0.35">
      <c r="A12" s="833"/>
      <c r="B12" s="63"/>
      <c r="C12" s="63"/>
      <c r="D12" s="70" t="s">
        <v>1072</v>
      </c>
      <c r="E12" s="71" t="s">
        <v>17</v>
      </c>
      <c r="F12" s="13"/>
      <c r="G12" s="14"/>
      <c r="H12" s="14"/>
      <c r="I12" s="64"/>
      <c r="J12" s="19"/>
      <c r="K12" s="96"/>
      <c r="L12" s="97"/>
      <c r="M12" s="96"/>
      <c r="N12" s="132"/>
      <c r="O12" s="98"/>
      <c r="P12" s="98"/>
      <c r="Q12" s="98"/>
      <c r="R12" s="98"/>
    </row>
    <row r="13" spans="1:18" s="2" customFormat="1" ht="12.75" customHeight="1" x14ac:dyDescent="0.35">
      <c r="A13" s="833"/>
      <c r="B13" s="63"/>
      <c r="C13" s="63"/>
      <c r="D13" s="14"/>
      <c r="E13" s="14"/>
      <c r="F13" s="14"/>
      <c r="G13" s="14"/>
      <c r="H13" s="14"/>
      <c r="I13" s="64"/>
      <c r="J13" s="19"/>
      <c r="K13" s="96"/>
      <c r="L13" s="97"/>
      <c r="M13" s="96"/>
      <c r="N13" s="132"/>
      <c r="O13" s="98"/>
      <c r="P13" s="98"/>
      <c r="Q13" s="98"/>
      <c r="R13" s="98"/>
    </row>
    <row r="14" spans="1:18" s="2" customFormat="1" ht="12.75" customHeight="1" x14ac:dyDescent="0.35">
      <c r="A14" s="833"/>
      <c r="B14" s="63"/>
      <c r="C14" s="14"/>
      <c r="D14" s="14"/>
      <c r="E14" s="14"/>
      <c r="F14" s="14"/>
      <c r="G14" s="14"/>
      <c r="H14" s="14"/>
      <c r="I14" s="64"/>
      <c r="J14" s="19"/>
      <c r="K14" s="96"/>
      <c r="L14" s="97"/>
      <c r="M14" s="96"/>
      <c r="N14" s="132"/>
      <c r="O14" s="98"/>
      <c r="P14" s="98"/>
      <c r="Q14" s="98"/>
      <c r="R14" s="98"/>
    </row>
    <row r="15" spans="1:18" s="2" customFormat="1" ht="20.149999999999999" customHeight="1" x14ac:dyDescent="0.35">
      <c r="A15" s="833"/>
      <c r="B15" s="63"/>
      <c r="C15" s="14"/>
      <c r="D15" s="70"/>
      <c r="E15" s="14"/>
      <c r="F15" s="14"/>
      <c r="G15" s="14"/>
      <c r="H15" s="14"/>
      <c r="I15" s="64"/>
      <c r="J15" s="19"/>
      <c r="L15" s="96"/>
      <c r="M15" s="96"/>
      <c r="N15" s="132"/>
      <c r="O15" s="98"/>
      <c r="P15" s="98"/>
      <c r="Q15" s="98"/>
      <c r="R15" s="98"/>
    </row>
    <row r="16" spans="1:18" s="2" customFormat="1" ht="12.75" customHeight="1" x14ac:dyDescent="0.35">
      <c r="A16" s="833"/>
      <c r="B16" s="63"/>
      <c r="C16" s="14"/>
      <c r="D16" s="70"/>
      <c r="E16" s="70"/>
      <c r="F16" s="70"/>
      <c r="G16" s="70"/>
      <c r="H16" s="70"/>
      <c r="I16" s="64"/>
      <c r="J16" s="19"/>
      <c r="K16" s="96"/>
      <c r="L16" s="100"/>
      <c r="M16" s="96"/>
      <c r="N16" s="132"/>
      <c r="O16" s="98"/>
      <c r="P16" s="98"/>
      <c r="Q16" s="98"/>
      <c r="R16" s="98"/>
    </row>
    <row r="17" spans="1:18" s="2" customFormat="1" ht="20.149999999999999" customHeight="1" x14ac:dyDescent="0.35">
      <c r="A17" s="833"/>
      <c r="B17" s="63"/>
      <c r="C17" s="47" t="s">
        <v>34</v>
      </c>
      <c r="D17" s="47"/>
      <c r="E17" s="320"/>
      <c r="F17" s="47"/>
      <c r="G17" s="868"/>
      <c r="H17" s="869"/>
      <c r="I17" s="64"/>
      <c r="J17" s="19"/>
      <c r="K17" s="96"/>
      <c r="L17" s="100"/>
      <c r="M17" s="96"/>
      <c r="N17" s="99"/>
      <c r="O17" s="98"/>
      <c r="P17" s="98"/>
      <c r="Q17" s="98"/>
      <c r="R17" s="98"/>
    </row>
    <row r="18" spans="1:18" s="2" customFormat="1" ht="20.149999999999999" customHeight="1" x14ac:dyDescent="0.35">
      <c r="A18" s="833"/>
      <c r="B18" s="65"/>
      <c r="C18" s="47" t="s">
        <v>1</v>
      </c>
      <c r="D18" s="47"/>
      <c r="E18" s="321"/>
      <c r="F18" s="47"/>
      <c r="G18" s="867"/>
      <c r="H18" s="867"/>
      <c r="I18" s="67"/>
      <c r="J18" s="19"/>
      <c r="K18" s="96"/>
      <c r="L18" s="100"/>
      <c r="M18" s="96"/>
      <c r="N18" s="99"/>
      <c r="O18" s="98"/>
      <c r="P18" s="98"/>
      <c r="Q18" s="98"/>
      <c r="R18" s="98"/>
    </row>
    <row r="19" spans="1:18" ht="19.5" customHeight="1" x14ac:dyDescent="0.5">
      <c r="A19" s="833"/>
      <c r="B19" s="45"/>
      <c r="C19" s="54" t="str">
        <f>IF(F19=0, "UNVOLLSTÄNDIG AUSGEFÜLLT!","")</f>
        <v>UNVOLLSTÄNDIG AUSGEFÜLLT!</v>
      </c>
      <c r="D19" s="45"/>
      <c r="E19" s="45"/>
      <c r="F19" s="451">
        <f>IF(AND(SUM(E6:E7)&gt;0,SUM(E9:E10)&gt;0),1,0)</f>
        <v>0</v>
      </c>
      <c r="G19" s="852" t="str">
        <f>IF(VSK&lt;&gt;0, G58,"")</f>
        <v/>
      </c>
      <c r="H19" s="852"/>
      <c r="I19" s="45"/>
      <c r="M19" s="92"/>
    </row>
    <row r="20" spans="1:18" ht="19.5" customHeight="1" x14ac:dyDescent="0.35">
      <c r="A20" s="833"/>
      <c r="B20" s="45"/>
      <c r="C20" s="45"/>
      <c r="D20" s="45"/>
      <c r="E20" s="45"/>
      <c r="F20" s="45"/>
      <c r="G20" s="45"/>
      <c r="H20" s="45"/>
      <c r="I20" s="45"/>
    </row>
    <row r="21" spans="1:18" ht="15.5" x14ac:dyDescent="0.35">
      <c r="A21" s="830" t="s">
        <v>66</v>
      </c>
      <c r="I21" s="577" t="str">
        <f ca="1">IF(VLOOKUP(B27,CHOOSE({5,4,3,2,1},Gesamt!L32:L65,Gesamt!M32:M65,Gesamt!N32:N65,Gesamt!O32:O65,Gesamt!P32:P65,),4,0)&gt;0,CONCATENATE("Pos. ",VLOOKUP(B27,CHOOSE({5,4,3,2,1},Gesamt!L32:L65,Gesamt!M32:M65,Gesamt!N32:N65,Gesamt!O32:O65,Gesamt!P32:P65,),VLOOKUP(Gesamt!C19,Gesamt!L5:N7,3,0),0)),"")</f>
        <v/>
      </c>
    </row>
    <row r="22" spans="1:18" x14ac:dyDescent="0.35">
      <c r="A22" s="830"/>
      <c r="B22" s="831" t="str">
        <f>CONCATENATE(Gesamt!C2, ": ", Gesamt!E2)</f>
        <v xml:space="preserve">Projekt: </v>
      </c>
      <c r="C22" s="831"/>
      <c r="D22" s="831"/>
      <c r="E22" s="831"/>
      <c r="F22" s="831"/>
      <c r="G22" s="831"/>
      <c r="H22" s="831"/>
      <c r="I22" s="831"/>
    </row>
    <row r="23" spans="1:18" x14ac:dyDescent="0.35">
      <c r="A23" s="830"/>
      <c r="B23" s="832" t="str">
        <f>CONCATENATE(Gesamt!C4, ": ", Gesamt!E4, IF(Gesamt!E5&lt;&gt;""," - ",""), IF(Gesamt!E5&lt;&gt;"",Gesamt!E5,""), IF(Gesamt!E6&lt;&gt;""," - GZ. ",""), IF(Gesamt!E6&lt;&gt;"",Gesamt!E6,""),)</f>
        <v xml:space="preserve">Auftraggeber: </v>
      </c>
      <c r="C23" s="832"/>
      <c r="D23" s="832"/>
      <c r="E23" s="832"/>
      <c r="F23" s="832"/>
      <c r="G23" s="832"/>
      <c r="H23" s="832"/>
      <c r="I23" s="832"/>
    </row>
    <row r="24" spans="1:18" x14ac:dyDescent="0.35">
      <c r="A24" s="830"/>
      <c r="B24" s="832" t="str">
        <f>CONCATENATE(Gesamt!C9, ": ",Gesamt!E9,  IF(Gesamt!C10&lt;&gt;""," - ",""), IF(Gesamt!C10&lt;&gt;"",Gesamt!E10,""), IF(Gesamt!C11&lt;&gt;""," - GZ. ",""), IF(Gesamt!C11&lt;&gt;"",Gesamt!E11,""), )</f>
        <v xml:space="preserve">Bieter:  -  - GZ. </v>
      </c>
      <c r="C24" s="832"/>
      <c r="D24" s="832"/>
      <c r="E24" s="832"/>
      <c r="F24" s="832"/>
      <c r="G24" s="832"/>
      <c r="H24" s="832"/>
      <c r="I24" s="832"/>
    </row>
    <row r="25" spans="1:18" x14ac:dyDescent="0.35">
      <c r="A25" s="830"/>
      <c r="B25" s="832" t="s">
        <v>41</v>
      </c>
      <c r="C25" s="832"/>
      <c r="D25" s="832"/>
      <c r="E25" s="832"/>
      <c r="F25" s="832"/>
      <c r="G25" s="832"/>
      <c r="H25" s="832"/>
      <c r="I25" s="832"/>
    </row>
    <row r="26" spans="1:18" x14ac:dyDescent="0.35">
      <c r="A26" s="830"/>
    </row>
    <row r="27" spans="1:18" s="9" customFormat="1" ht="23.25" customHeight="1" x14ac:dyDescent="0.35">
      <c r="A27" s="830"/>
      <c r="B27" s="843" t="str">
        <f>CONCATENATE(D2," ",D3)</f>
        <v xml:space="preserve">Erstellen und verfeinern eines DGM </v>
      </c>
      <c r="C27" s="843"/>
      <c r="D27" s="843"/>
      <c r="E27" s="843"/>
      <c r="F27" s="843"/>
      <c r="G27" s="843"/>
      <c r="H27" s="843"/>
      <c r="I27" s="843"/>
      <c r="J27" s="20"/>
      <c r="K27" s="101"/>
      <c r="L27" s="102"/>
      <c r="M27" s="103"/>
      <c r="N27" s="103"/>
      <c r="O27" s="103"/>
      <c r="P27" s="103"/>
      <c r="Q27" s="103"/>
      <c r="R27" s="103"/>
    </row>
    <row r="28" spans="1:18" x14ac:dyDescent="0.35">
      <c r="A28" s="830"/>
    </row>
    <row r="29" spans="1:18" x14ac:dyDescent="0.35">
      <c r="A29" s="830"/>
      <c r="C29" t="s">
        <v>1041</v>
      </c>
    </row>
    <row r="30" spans="1:18" x14ac:dyDescent="0.35">
      <c r="A30" s="830"/>
    </row>
    <row r="31" spans="1:18" x14ac:dyDescent="0.35">
      <c r="A31" s="830"/>
      <c r="C31" t="s">
        <v>959</v>
      </c>
      <c r="E31" s="243">
        <f>IS</f>
        <v>0</v>
      </c>
    </row>
    <row r="32" spans="1:18" x14ac:dyDescent="0.35">
      <c r="A32" s="830"/>
      <c r="E32" s="243"/>
    </row>
    <row r="33" spans="1:18" x14ac:dyDescent="0.35">
      <c r="A33" s="830"/>
      <c r="C33" s="30" t="s">
        <v>1141</v>
      </c>
      <c r="E33" s="243"/>
      <c r="M33" s="571"/>
    </row>
    <row r="34" spans="1:18" x14ac:dyDescent="0.35">
      <c r="A34" s="830"/>
      <c r="E34" s="1"/>
    </row>
    <row r="35" spans="1:18" x14ac:dyDescent="0.35">
      <c r="A35" s="830"/>
      <c r="C35" s="1"/>
      <c r="D35" s="764"/>
      <c r="F35" s="571"/>
      <c r="M35" s="1"/>
      <c r="N35" s="764"/>
      <c r="O35"/>
      <c r="P35" s="571"/>
      <c r="Q35"/>
      <c r="R35"/>
    </row>
    <row r="36" spans="1:18" x14ac:dyDescent="0.35">
      <c r="A36" s="830"/>
      <c r="C36" s="1"/>
      <c r="D36" s="764"/>
      <c r="F36" s="133"/>
    </row>
    <row r="37" spans="1:18" x14ac:dyDescent="0.35">
      <c r="A37" s="830"/>
      <c r="C37" s="30" t="s">
        <v>1078</v>
      </c>
      <c r="D37" s="764">
        <f>E6</f>
        <v>0</v>
      </c>
      <c r="E37" t="s">
        <v>1080</v>
      </c>
      <c r="F37" s="571" t="s">
        <v>1077</v>
      </c>
    </row>
    <row r="38" spans="1:18" x14ac:dyDescent="0.35">
      <c r="A38" s="830"/>
      <c r="C38" t="s">
        <v>1079</v>
      </c>
      <c r="D38" s="764">
        <f>E7</f>
        <v>0</v>
      </c>
      <c r="E38" t="s">
        <v>1080</v>
      </c>
      <c r="F38" s="571" t="s">
        <v>1076</v>
      </c>
    </row>
    <row r="39" spans="1:18" x14ac:dyDescent="0.35">
      <c r="A39" s="830"/>
      <c r="D39" s="764"/>
      <c r="F39" s="571"/>
    </row>
    <row r="40" spans="1:18" ht="16.5" x14ac:dyDescent="0.35">
      <c r="A40" s="830"/>
      <c r="C40" t="s">
        <v>348</v>
      </c>
      <c r="D40" s="764">
        <f>E9</f>
        <v>0</v>
      </c>
      <c r="E40" t="s">
        <v>1082</v>
      </c>
      <c r="F40" s="571" t="s">
        <v>1062</v>
      </c>
    </row>
    <row r="41" spans="1:18" x14ac:dyDescent="0.35">
      <c r="A41" s="830"/>
      <c r="C41" t="s">
        <v>1083</v>
      </c>
      <c r="D41" s="764">
        <f>E10</f>
        <v>0</v>
      </c>
      <c r="E41" t="s">
        <v>1081</v>
      </c>
      <c r="F41" s="571" t="s">
        <v>1075</v>
      </c>
    </row>
    <row r="42" spans="1:18" x14ac:dyDescent="0.35">
      <c r="A42" s="830"/>
      <c r="C42" s="2"/>
      <c r="D42" s="764"/>
      <c r="F42" s="571"/>
      <c r="H42" s="2"/>
    </row>
    <row r="43" spans="1:18" x14ac:dyDescent="0.35">
      <c r="A43" s="830"/>
      <c r="C43" t="s">
        <v>325</v>
      </c>
      <c r="D43" s="764">
        <f>VLOOKUP(E43,Konstante!AQ67:AR75,2,FALSE)</f>
        <v>1</v>
      </c>
      <c r="E43" t="str">
        <f>E12</f>
        <v>Ia</v>
      </c>
      <c r="F43" s="571" t="s">
        <v>1074</v>
      </c>
      <c r="H43" s="1"/>
    </row>
    <row r="44" spans="1:18" x14ac:dyDescent="0.35">
      <c r="A44" s="830"/>
      <c r="C44" s="28"/>
      <c r="D44" s="121"/>
      <c r="E44" s="122"/>
      <c r="F44" s="123"/>
      <c r="G44" s="28"/>
      <c r="H44" s="1"/>
      <c r="K44" s="119"/>
    </row>
    <row r="45" spans="1:18" x14ac:dyDescent="0.35">
      <c r="A45" s="830"/>
      <c r="C45" s="124"/>
      <c r="D45" s="125"/>
      <c r="E45" s="124"/>
      <c r="F45" s="126"/>
      <c r="G45" s="55"/>
      <c r="H45" s="55"/>
      <c r="K45" s="119"/>
    </row>
    <row r="46" spans="1:18" s="3" customFormat="1" x14ac:dyDescent="0.35">
      <c r="A46" s="830"/>
      <c r="B46"/>
      <c r="C46" s="765" t="s">
        <v>1061</v>
      </c>
      <c r="D46"/>
      <c r="E46" s="766" t="str">
        <f>IF(VSK&gt;0,N4,"")</f>
        <v/>
      </c>
      <c r="F46" s="128"/>
      <c r="G46"/>
      <c r="H46"/>
      <c r="I46"/>
      <c r="J46" s="23"/>
      <c r="K46" s="120"/>
      <c r="L46" s="104"/>
      <c r="M46" s="105"/>
      <c r="N46" s="105"/>
      <c r="O46" s="105"/>
      <c r="P46" s="105"/>
      <c r="Q46" s="105"/>
      <c r="R46" s="105"/>
    </row>
    <row r="47" spans="1:18" x14ac:dyDescent="0.35">
      <c r="A47" s="830"/>
      <c r="C47" s="765" t="s">
        <v>1084</v>
      </c>
      <c r="E47" s="766" t="str">
        <f>IF(VSK&gt;0,N5,"")</f>
        <v/>
      </c>
      <c r="K47" s="119"/>
    </row>
    <row r="48" spans="1:18" x14ac:dyDescent="0.35">
      <c r="A48" s="830"/>
      <c r="B48" s="3"/>
      <c r="C48" s="765" t="s">
        <v>1085</v>
      </c>
      <c r="E48" s="766" t="str">
        <f>IF(VSK&gt;0,N6,"")</f>
        <v/>
      </c>
      <c r="F48" s="3"/>
      <c r="I48" s="3"/>
    </row>
    <row r="49" spans="1:18" x14ac:dyDescent="0.35">
      <c r="A49" s="830"/>
      <c r="C49" s="28"/>
      <c r="D49" s="121"/>
      <c r="E49" s="122"/>
      <c r="F49" s="123"/>
      <c r="G49" s="28"/>
      <c r="H49" s="1"/>
    </row>
    <row r="50" spans="1:18" x14ac:dyDescent="0.35">
      <c r="A50" s="830"/>
      <c r="C50" s="124"/>
      <c r="D50" s="125"/>
      <c r="E50" s="124"/>
      <c r="F50" s="126"/>
      <c r="G50" s="55"/>
      <c r="H50" s="55"/>
    </row>
    <row r="51" spans="1:18" x14ac:dyDescent="0.35">
      <c r="A51" s="830"/>
      <c r="C51" t="s">
        <v>60</v>
      </c>
      <c r="F51" s="118">
        <f>SUM(E46:E48)</f>
        <v>0</v>
      </c>
    </row>
    <row r="52" spans="1:18" x14ac:dyDescent="0.35">
      <c r="A52" s="830"/>
      <c r="C52" s="30"/>
      <c r="E52" s="28"/>
      <c r="F52" s="118"/>
    </row>
    <row r="53" spans="1:18" x14ac:dyDescent="0.35">
      <c r="A53" s="830"/>
      <c r="C53" s="30"/>
      <c r="E53" s="28"/>
      <c r="F53" s="118"/>
    </row>
    <row r="54" spans="1:18" x14ac:dyDescent="0.35">
      <c r="A54" s="830"/>
      <c r="C54" t="str">
        <f>IF(AND(ZuAbschlag&lt;&gt;0,VSK&lt;&gt;0),"Zu-/Abschlag:","")</f>
        <v/>
      </c>
      <c r="E54" s="15" t="str">
        <f>IF(AND(ZuAbschlag&lt;&gt;0,VSK&lt;&gt;0),ZuAbschlag,"")</f>
        <v/>
      </c>
      <c r="F54" s="17" t="str">
        <f>IF(AND(ZuAbschlag&lt;&gt;0,VSK&lt;&gt;0),F51*E54,"")</f>
        <v/>
      </c>
      <c r="G54" s="1" t="str">
        <f>IF(AND(ZuAbschlag&lt;&gt;0,VSK&lt;&gt;0,G17&lt;&gt;""),G17,"")</f>
        <v/>
      </c>
    </row>
    <row r="55" spans="1:18" x14ac:dyDescent="0.35">
      <c r="A55" s="830"/>
      <c r="C55" t="str">
        <f>IF(AND(NK&lt;&gt;0,VSK&lt;&gt;0),"Nebenkosten:","")</f>
        <v/>
      </c>
      <c r="F55" s="17" t="str">
        <f>IF(AND(NK&lt;&gt;0,VSK&lt;&gt;0),NK,"")</f>
        <v/>
      </c>
      <c r="G55" s="1" t="str">
        <f>IF(AND(NK&lt;&gt;0,VSK&lt;&gt;0,G18&lt;&gt;""),G18,"")</f>
        <v/>
      </c>
    </row>
    <row r="56" spans="1:18" s="11" customFormat="1" ht="15.5" x14ac:dyDescent="0.35">
      <c r="A56" s="830"/>
      <c r="B56"/>
      <c r="C56" s="30"/>
      <c r="D56"/>
      <c r="E56" s="28"/>
      <c r="F56" s="118"/>
      <c r="G56"/>
      <c r="H56"/>
      <c r="I56"/>
      <c r="J56" s="114"/>
      <c r="K56" s="115"/>
      <c r="L56" s="116"/>
      <c r="M56" s="117"/>
      <c r="N56" s="117"/>
      <c r="O56" s="117"/>
      <c r="P56" s="117"/>
      <c r="Q56" s="117"/>
      <c r="R56" s="117"/>
    </row>
    <row r="57" spans="1:18" x14ac:dyDescent="0.35">
      <c r="A57" s="830"/>
      <c r="C57" s="55"/>
      <c r="D57" s="55"/>
      <c r="E57" s="55"/>
      <c r="F57" s="55"/>
      <c r="G57" s="55"/>
      <c r="H57" s="55"/>
    </row>
    <row r="58" spans="1:18" ht="15.5" x14ac:dyDescent="0.35">
      <c r="A58" s="830"/>
      <c r="B58" s="11"/>
      <c r="C58" s="16" t="s">
        <v>65</v>
      </c>
      <c r="D58" s="110"/>
      <c r="E58" s="110"/>
      <c r="F58" s="113"/>
      <c r="G58" s="842">
        <f>IF(F19,SUM(F51:F55),0)</f>
        <v>0</v>
      </c>
      <c r="H58" s="842"/>
      <c r="I58" s="11"/>
    </row>
    <row r="59" spans="1:18" x14ac:dyDescent="0.35">
      <c r="A59" s="830"/>
      <c r="F59" s="28"/>
    </row>
    <row r="60" spans="1:18" x14ac:dyDescent="0.35">
      <c r="A60" s="830"/>
      <c r="E60" s="15"/>
      <c r="F60" s="17"/>
      <c r="G60" s="1"/>
    </row>
    <row r="61" spans="1:18" x14ac:dyDescent="0.35">
      <c r="A61" s="830"/>
      <c r="F61" s="28"/>
      <c r="G61" s="1"/>
    </row>
    <row r="62" spans="1:18" s="16" customFormat="1" ht="15.5" x14ac:dyDescent="0.35">
      <c r="A62" s="830"/>
      <c r="B62"/>
      <c r="C62"/>
      <c r="D62"/>
      <c r="E62"/>
      <c r="F62" s="17"/>
      <c r="G62" s="1"/>
      <c r="H62"/>
      <c r="I62"/>
      <c r="J62" s="21"/>
      <c r="K62" s="106"/>
      <c r="L62" s="107"/>
      <c r="M62" s="108"/>
      <c r="N62" s="108"/>
      <c r="O62" s="108"/>
      <c r="P62" s="108"/>
      <c r="Q62" s="108"/>
      <c r="R62" s="108"/>
    </row>
    <row r="63" spans="1:18" x14ac:dyDescent="0.35">
      <c r="A63" s="830"/>
    </row>
    <row r="64" spans="1:18" ht="15.5" x14ac:dyDescent="0.35">
      <c r="A64" s="830"/>
      <c r="B64" s="16"/>
      <c r="I64" s="16"/>
    </row>
  </sheetData>
  <mergeCells count="12">
    <mergeCell ref="A1:A20"/>
    <mergeCell ref="D2:H2"/>
    <mergeCell ref="G17:H17"/>
    <mergeCell ref="G18:H18"/>
    <mergeCell ref="G19:H19"/>
    <mergeCell ref="A21:A64"/>
    <mergeCell ref="B22:I22"/>
    <mergeCell ref="B23:I23"/>
    <mergeCell ref="B24:I24"/>
    <mergeCell ref="B25:I25"/>
    <mergeCell ref="B27:I27"/>
    <mergeCell ref="G58:H58"/>
  </mergeCells>
  <phoneticPr fontId="46" type="noConversion"/>
  <dataValidations count="6">
    <dataValidation type="decimal" operator="greaterThan" allowBlank="1" showInputMessage="1" showErrorMessage="1" sqref="E18" xr:uid="{7F662C7D-9EBB-4EB4-8077-FEC8450CF9A7}">
      <formula1>-1000000</formula1>
    </dataValidation>
    <dataValidation type="decimal" operator="greaterThan" showInputMessage="1" showErrorMessage="1" sqref="E17" xr:uid="{151B5F42-F49B-46C0-A142-E63414162C57}">
      <formula1>-1000</formula1>
    </dataValidation>
    <dataValidation type="decimal" allowBlank="1" showInputMessage="1" showErrorMessage="1" errorTitle="Ermittlung DGN" error="Positive Zahl eingeben" sqref="E6" xr:uid="{33D4B668-C12F-4EB0-8497-6AD4C7C53E18}">
      <formula1>0</formula1>
      <formula2>1000000</formula2>
    </dataValidation>
    <dataValidation type="decimal" allowBlank="1" showInputMessage="1" showErrorMessage="1" errorTitle="Verfeinerung DGM" error="Positive Zahl eingeben" sqref="E7" xr:uid="{37A408B2-50FB-4650-B4C3-DD8BEBE5E1B5}">
      <formula1>0</formula1>
      <formula2>1000000</formula2>
    </dataValidation>
    <dataValidation type="decimal" allowBlank="1" showInputMessage="1" showErrorMessage="1" errorTitle="Punktdichte" error="Zahl größer 0 und kleiner 1.000.000 eingeben" prompt="Zahl größer 0 eingeben" sqref="E9" xr:uid="{EEEF1053-E8DC-45D7-9F11-441D72419EB4}">
      <formula1>0.000001</formula1>
      <formula2>1000000</formula2>
    </dataValidation>
    <dataValidation type="decimal" allowBlank="1" showInputMessage="1" showErrorMessage="1" errorTitle="Punktdichte" error="Zahl größer/gleich 0 und kleiner 10.000 eingeben" prompt="Zahl größer/gleich 0 eingeben" sqref="E10" xr:uid="{C9CDADAD-55B8-424D-96A2-824B3B1BEBC1}">
      <formula1>0</formula1>
      <formula2>10000</formula2>
    </dataValidation>
  </dataValidations>
  <pageMargins left="0.70866141732283472" right="0.39370078740157483" top="0.59055118110236227" bottom="0.59055118110236227" header="0.31496062992125984" footer="0.31496062992125984"/>
  <pageSetup paperSize="9" orientation="portrait" r:id="rId1"/>
  <headerFooter>
    <oddFooter>&amp;L&amp;9&amp;F, &amp;A&amp;R&amp;9&amp;D</oddFooter>
  </headerFooter>
  <legacyDrawing r:id="rId2"/>
  <legacyDrawingHF r:id="rId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A114C083-E182-4AF0-A95C-C329551C02FC}">
          <x14:formula1>
            <xm:f>Konstante!$AT$67:$AT$69</xm:f>
          </x14:formula1>
          <xm:sqref>E16</xm:sqref>
        </x14:dataValidation>
        <x14:dataValidation type="list" allowBlank="1" showInputMessage="1" showErrorMessage="1" xr:uid="{D58AB3AA-28A9-40AF-863C-1AAC3D3B423E}">
          <x14:formula1>
            <xm:f>Konstante!$AQ$67:$AQ$75</xm:f>
          </x14:formula1>
          <xm:sqref>E12</xm:sqref>
        </x14:dataValidation>
      </x14:dataValidations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14"/>
  <dimension ref="A1:R70"/>
  <sheetViews>
    <sheetView topLeftCell="A3" zoomScaleNormal="100" zoomScaleSheetLayoutView="100" workbookViewId="0">
      <selection activeCell="D5" sqref="D5"/>
    </sheetView>
  </sheetViews>
  <sheetFormatPr baseColWidth="10" defaultRowHeight="14.5" x14ac:dyDescent="0.35"/>
  <cols>
    <col min="1" max="1" width="4" customWidth="1"/>
    <col min="2" max="2" width="6.7265625" customWidth="1"/>
    <col min="3" max="8" width="12.7265625" customWidth="1"/>
    <col min="9" max="9" width="5.7265625" customWidth="1"/>
    <col min="10" max="10" width="8.7265625" style="18" customWidth="1"/>
    <col min="11" max="11" width="11.453125" style="92"/>
    <col min="12" max="12" width="11.453125" style="93"/>
    <col min="13" max="18" width="11.453125" style="94"/>
  </cols>
  <sheetData>
    <row r="1" spans="1:18" ht="17.25" customHeight="1" x14ac:dyDescent="0.35">
      <c r="A1" s="833" t="s">
        <v>35</v>
      </c>
      <c r="B1" s="45"/>
      <c r="C1" s="45"/>
      <c r="D1" s="45"/>
      <c r="E1" s="45"/>
      <c r="F1" s="45"/>
      <c r="G1" s="45"/>
      <c r="H1" s="45"/>
      <c r="I1" s="45"/>
      <c r="K1" s="93" t="s">
        <v>699</v>
      </c>
      <c r="M1" s="93"/>
      <c r="N1" s="94">
        <f ca="1">CELL("ZEILE",B28)</f>
        <v>28</v>
      </c>
    </row>
    <row r="2" spans="1:18" ht="22.5" customHeight="1" x14ac:dyDescent="0.35">
      <c r="A2" s="833"/>
      <c r="B2" s="46"/>
      <c r="C2" s="47" t="s">
        <v>36</v>
      </c>
      <c r="D2" s="864" t="s">
        <v>1134</v>
      </c>
      <c r="E2" s="865"/>
      <c r="F2" s="865"/>
      <c r="G2" s="865"/>
      <c r="H2" s="866"/>
      <c r="I2" s="45"/>
      <c r="K2" s="175" t="s">
        <v>700</v>
      </c>
      <c r="L2" s="155"/>
      <c r="M2" s="155"/>
      <c r="N2" s="175">
        <f ca="1">CELL("ZEILE",G61)</f>
        <v>61</v>
      </c>
      <c r="O2" s="95"/>
      <c r="P2" s="95"/>
    </row>
    <row r="3" spans="1:18" ht="22.5" customHeight="1" x14ac:dyDescent="0.35">
      <c r="A3" s="833"/>
      <c r="B3" s="46"/>
      <c r="C3" s="61"/>
      <c r="D3" s="864" t="s">
        <v>723</v>
      </c>
      <c r="E3" s="865"/>
      <c r="F3" s="865"/>
      <c r="G3" s="865"/>
      <c r="H3" s="866"/>
      <c r="I3" s="45"/>
      <c r="K3" s="175" t="s">
        <v>701</v>
      </c>
      <c r="L3" s="155"/>
      <c r="M3" s="155"/>
      <c r="N3" s="175">
        <f>F20</f>
        <v>0</v>
      </c>
      <c r="O3" s="95"/>
      <c r="P3" s="95"/>
    </row>
    <row r="4" spans="1:18" ht="17.25" customHeight="1" x14ac:dyDescent="0.35">
      <c r="A4" s="833"/>
      <c r="B4" s="63"/>
      <c r="C4" s="14"/>
      <c r="D4" s="14"/>
      <c r="E4" s="14"/>
      <c r="F4" s="14"/>
      <c r="G4" s="14"/>
      <c r="H4" s="14"/>
      <c r="I4" s="64"/>
      <c r="K4" s="95"/>
      <c r="L4" s="95"/>
      <c r="M4" s="95"/>
      <c r="N4" s="95"/>
      <c r="O4" s="95"/>
      <c r="P4" s="95"/>
      <c r="Q4" s="95"/>
    </row>
    <row r="5" spans="1:18" ht="17.25" customHeight="1" x14ac:dyDescent="0.35">
      <c r="A5" s="833"/>
      <c r="B5" s="63"/>
      <c r="C5" s="70" t="s">
        <v>157</v>
      </c>
      <c r="D5" s="90"/>
      <c r="E5" s="14"/>
      <c r="F5" s="70" t="s">
        <v>152</v>
      </c>
      <c r="G5" s="90"/>
      <c r="H5" s="130" t="s">
        <v>149</v>
      </c>
      <c r="I5" s="64"/>
      <c r="K5" s="95"/>
      <c r="L5" s="95"/>
      <c r="M5" s="95"/>
      <c r="N5" s="95"/>
      <c r="O5" s="95"/>
      <c r="P5" s="95"/>
    </row>
    <row r="6" spans="1:18" ht="17.25" customHeight="1" x14ac:dyDescent="0.35">
      <c r="A6" s="833"/>
      <c r="B6" s="63"/>
      <c r="C6" s="12"/>
      <c r="D6" s="12"/>
      <c r="E6" s="12"/>
      <c r="F6" s="12"/>
      <c r="G6" s="14"/>
      <c r="H6" s="12"/>
      <c r="I6" s="64"/>
    </row>
    <row r="7" spans="1:18" ht="19.5" customHeight="1" x14ac:dyDescent="0.35">
      <c r="A7" s="833"/>
      <c r="B7" s="63"/>
      <c r="C7" s="12"/>
      <c r="D7" s="70" t="s">
        <v>150</v>
      </c>
      <c r="E7" s="131"/>
      <c r="F7" s="130" t="s">
        <v>151</v>
      </c>
      <c r="G7" s="14"/>
      <c r="H7" s="14"/>
      <c r="I7" s="64"/>
    </row>
    <row r="8" spans="1:18" s="2" customFormat="1" ht="20.149999999999999" customHeight="1" x14ac:dyDescent="0.35">
      <c r="A8" s="833"/>
      <c r="B8" s="63"/>
      <c r="C8" s="14"/>
      <c r="D8" s="70" t="s">
        <v>155</v>
      </c>
      <c r="E8" s="129"/>
      <c r="F8" s="130" t="s">
        <v>153</v>
      </c>
      <c r="G8" s="14"/>
      <c r="H8" s="14"/>
      <c r="I8" s="64"/>
      <c r="J8" s="19"/>
      <c r="K8" s="96"/>
      <c r="L8" s="97"/>
      <c r="M8" s="98"/>
      <c r="N8" s="69"/>
    </row>
    <row r="9" spans="1:18" s="2" customFormat="1" ht="20.149999999999999" customHeight="1" x14ac:dyDescent="0.35">
      <c r="A9" s="833"/>
      <c r="B9" s="63"/>
      <c r="C9" s="14"/>
      <c r="D9" s="70" t="s">
        <v>165</v>
      </c>
      <c r="E9" s="129"/>
      <c r="F9" s="130" t="s">
        <v>154</v>
      </c>
      <c r="G9" s="14"/>
      <c r="H9" s="14"/>
      <c r="I9" s="64"/>
      <c r="J9" s="19"/>
      <c r="K9" s="96"/>
      <c r="L9" s="97"/>
      <c r="M9" s="98"/>
      <c r="N9" s="98">
        <f>(3+6.67*$D$5+2.2*$G$5+2.94*$E$7+7.63*$E$8+2.52*$E$9)</f>
        <v>3</v>
      </c>
    </row>
    <row r="10" spans="1:18" s="2" customFormat="1" ht="20.149999999999999" customHeight="1" x14ac:dyDescent="0.35">
      <c r="A10" s="833"/>
      <c r="B10" s="63"/>
      <c r="C10" s="14"/>
      <c r="D10" s="14"/>
      <c r="E10" s="14"/>
      <c r="F10" s="14"/>
      <c r="G10" s="14"/>
      <c r="H10" s="14"/>
      <c r="I10" s="64"/>
      <c r="J10" s="19"/>
      <c r="K10" s="96"/>
      <c r="L10" s="92" t="s">
        <v>140</v>
      </c>
      <c r="M10" s="94"/>
      <c r="N10" s="98"/>
      <c r="O10" s="98"/>
      <c r="P10" s="98"/>
      <c r="Q10" s="98"/>
      <c r="R10" s="98"/>
    </row>
    <row r="11" spans="1:18" s="2" customFormat="1" ht="20.149999999999999" customHeight="1" x14ac:dyDescent="0.35">
      <c r="A11" s="833"/>
      <c r="B11" s="63"/>
      <c r="C11" s="70" t="s">
        <v>111</v>
      </c>
      <c r="D11" s="131"/>
      <c r="E11" s="14"/>
      <c r="F11" s="70" t="s">
        <v>113</v>
      </c>
      <c r="G11" s="71" t="s">
        <v>20</v>
      </c>
      <c r="H11" s="14"/>
      <c r="I11" s="64"/>
      <c r="J11" s="19"/>
      <c r="K11" s="96"/>
      <c r="L11" s="94">
        <f>VLOOKUP(G11,Konstante!AQ$67:AR$75,2,)</f>
        <v>1.6</v>
      </c>
      <c r="M11" s="94"/>
      <c r="N11" s="98">
        <f>0.48*D11*L11</f>
        <v>0</v>
      </c>
      <c r="O11" s="98"/>
      <c r="P11" s="98"/>
      <c r="Q11" s="98"/>
      <c r="R11" s="98"/>
    </row>
    <row r="12" spans="1:18" s="2" customFormat="1" ht="20.149999999999999" customHeight="1" x14ac:dyDescent="0.35">
      <c r="A12" s="833"/>
      <c r="B12" s="63"/>
      <c r="C12" s="70" t="s">
        <v>111</v>
      </c>
      <c r="D12" s="131"/>
      <c r="E12" s="14"/>
      <c r="F12" s="70" t="s">
        <v>113</v>
      </c>
      <c r="G12" s="71" t="s">
        <v>20</v>
      </c>
      <c r="H12" s="14"/>
      <c r="I12" s="64"/>
      <c r="J12" s="19"/>
      <c r="K12" s="96"/>
      <c r="L12" s="94">
        <f>VLOOKUP(G12,Konstante!AQ$67:AR$75,2,)</f>
        <v>1.6</v>
      </c>
      <c r="M12" s="94"/>
      <c r="N12" s="98">
        <f t="shared" ref="N12:N13" si="0">0.48*D12*L12</f>
        <v>0</v>
      </c>
      <c r="O12" s="98"/>
      <c r="P12" s="98"/>
      <c r="Q12" s="98"/>
      <c r="R12" s="98"/>
    </row>
    <row r="13" spans="1:18" s="2" customFormat="1" ht="20.149999999999999" customHeight="1" x14ac:dyDescent="0.35">
      <c r="A13" s="833"/>
      <c r="B13" s="63"/>
      <c r="C13" s="70" t="s">
        <v>111</v>
      </c>
      <c r="D13" s="462"/>
      <c r="E13" s="14"/>
      <c r="F13" s="70" t="s">
        <v>113</v>
      </c>
      <c r="G13" s="71" t="s">
        <v>20</v>
      </c>
      <c r="H13" s="14"/>
      <c r="I13" s="64"/>
      <c r="J13" s="19"/>
      <c r="K13" s="96"/>
      <c r="L13" s="94">
        <f>VLOOKUP(G13,Konstante!AQ$67:AR$75,2,)</f>
        <v>1.6</v>
      </c>
      <c r="M13" s="96"/>
      <c r="N13" s="98">
        <f t="shared" si="0"/>
        <v>0</v>
      </c>
      <c r="O13" s="98"/>
      <c r="P13" s="98"/>
      <c r="Q13" s="98"/>
      <c r="R13" s="98"/>
    </row>
    <row r="14" spans="1:18" s="2" customFormat="1" ht="20.149999999999999" customHeight="1" x14ac:dyDescent="0.35">
      <c r="A14" s="833"/>
      <c r="B14" s="63"/>
      <c r="C14" s="70" t="s">
        <v>112</v>
      </c>
      <c r="D14" s="143">
        <f>SUM(D11:D13)</f>
        <v>0</v>
      </c>
      <c r="E14" s="14" t="s">
        <v>158</v>
      </c>
      <c r="F14" s="14"/>
      <c r="G14" s="14"/>
      <c r="H14" s="14"/>
      <c r="I14" s="64"/>
      <c r="J14" s="19"/>
      <c r="K14" s="96"/>
      <c r="L14" s="97"/>
      <c r="M14" s="96"/>
      <c r="N14" s="132">
        <f>($N$9+$N$11+$N$12+$N$13)*$L$16*IS</f>
        <v>0</v>
      </c>
      <c r="O14" s="98"/>
      <c r="P14" s="98"/>
      <c r="Q14" s="98"/>
      <c r="R14" s="98"/>
    </row>
    <row r="15" spans="1:18" s="2" customFormat="1" ht="12.75" customHeight="1" x14ac:dyDescent="0.35">
      <c r="A15" s="833"/>
      <c r="B15" s="63"/>
      <c r="C15" s="14"/>
      <c r="D15" s="14"/>
      <c r="E15" s="14"/>
      <c r="F15" s="14"/>
      <c r="G15" s="14"/>
      <c r="H15" s="14"/>
      <c r="I15" s="64"/>
      <c r="J15" s="19"/>
      <c r="K15" s="96"/>
      <c r="L15" s="97"/>
      <c r="M15" s="96"/>
      <c r="N15" s="132"/>
      <c r="O15" s="98"/>
      <c r="P15" s="98"/>
      <c r="Q15" s="98"/>
      <c r="R15" s="98"/>
    </row>
    <row r="16" spans="1:18" s="2" customFormat="1" ht="20.149999999999999" customHeight="1" x14ac:dyDescent="0.35">
      <c r="A16" s="833"/>
      <c r="B16" s="63"/>
      <c r="C16" s="14"/>
      <c r="D16" s="70" t="s">
        <v>156</v>
      </c>
      <c r="E16" s="908" t="s">
        <v>162</v>
      </c>
      <c r="F16" s="908"/>
      <c r="G16" s="908"/>
      <c r="H16" s="908"/>
      <c r="I16" s="64"/>
      <c r="J16" s="19"/>
      <c r="L16" s="96">
        <f>VLOOKUP(E16,Konstante!AT67:AU69,2,FALSE)</f>
        <v>0.8</v>
      </c>
      <c r="M16" s="96"/>
      <c r="N16" s="132"/>
      <c r="O16" s="98"/>
      <c r="P16" s="98"/>
      <c r="Q16" s="98"/>
      <c r="R16" s="98"/>
    </row>
    <row r="17" spans="1:18" s="2" customFormat="1" ht="12.75" customHeight="1" x14ac:dyDescent="0.35">
      <c r="A17" s="833"/>
      <c r="B17" s="63"/>
      <c r="C17" s="14"/>
      <c r="D17" s="70"/>
      <c r="E17" s="70"/>
      <c r="F17" s="70"/>
      <c r="G17" s="70"/>
      <c r="H17" s="70"/>
      <c r="I17" s="64"/>
      <c r="J17" s="19"/>
      <c r="K17" s="96"/>
      <c r="L17" s="100"/>
      <c r="M17" s="96"/>
      <c r="N17" s="132"/>
      <c r="O17" s="98"/>
      <c r="P17" s="98"/>
      <c r="Q17" s="98"/>
      <c r="R17" s="98"/>
    </row>
    <row r="18" spans="1:18" s="2" customFormat="1" ht="20.149999999999999" customHeight="1" x14ac:dyDescent="0.35">
      <c r="A18" s="833"/>
      <c r="B18" s="63"/>
      <c r="C18" s="47" t="s">
        <v>34</v>
      </c>
      <c r="D18" s="47"/>
      <c r="E18" s="320"/>
      <c r="F18" s="47"/>
      <c r="G18" s="868"/>
      <c r="H18" s="869"/>
      <c r="I18" s="64"/>
      <c r="J18" s="19"/>
      <c r="K18" s="96"/>
      <c r="L18" s="100"/>
      <c r="M18" s="96"/>
      <c r="N18" s="99"/>
      <c r="O18" s="98"/>
      <c r="P18" s="98"/>
      <c r="Q18" s="98"/>
      <c r="R18" s="98"/>
    </row>
    <row r="19" spans="1:18" s="2" customFormat="1" ht="20.149999999999999" customHeight="1" x14ac:dyDescent="0.35">
      <c r="A19" s="833"/>
      <c r="B19" s="65"/>
      <c r="C19" s="47" t="s">
        <v>1</v>
      </c>
      <c r="D19" s="47"/>
      <c r="E19" s="321"/>
      <c r="F19" s="47"/>
      <c r="G19" s="867"/>
      <c r="H19" s="867"/>
      <c r="I19" s="67"/>
      <c r="J19" s="19"/>
      <c r="K19" s="96"/>
      <c r="L19" s="100"/>
      <c r="M19" s="96"/>
      <c r="N19" s="99"/>
      <c r="O19" s="98"/>
      <c r="P19" s="98"/>
      <c r="Q19" s="98"/>
      <c r="R19" s="98"/>
    </row>
    <row r="20" spans="1:18" ht="19.5" customHeight="1" x14ac:dyDescent="0.5">
      <c r="A20" s="833"/>
      <c r="B20" s="45"/>
      <c r="C20" s="54" t="str">
        <f>IF(F20=0, "UNVOLLSTÄNDIG AUSGEFÜLLT!","")</f>
        <v>UNVOLLSTÄNDIG AUSGEFÜLLT!</v>
      </c>
      <c r="D20" s="45"/>
      <c r="E20" s="45"/>
      <c r="F20" s="451">
        <f>IF(OR(D5&lt;0.01,AND(D11&lt;0.01,D12&lt;0.01,D13&lt;0.01)),0,1)</f>
        <v>0</v>
      </c>
      <c r="G20" s="852" t="str">
        <f>IF(VSK&lt;&gt;0, G61,"")</f>
        <v/>
      </c>
      <c r="H20" s="852"/>
      <c r="I20" s="45"/>
      <c r="M20" s="92"/>
    </row>
    <row r="21" spans="1:18" ht="19.5" customHeight="1" x14ac:dyDescent="0.35">
      <c r="A21" s="833"/>
      <c r="B21" s="45"/>
      <c r="C21" s="45"/>
      <c r="D21" s="45"/>
      <c r="E21" s="45"/>
      <c r="F21" s="45"/>
      <c r="G21" s="45"/>
      <c r="H21" s="45"/>
      <c r="I21" s="45"/>
    </row>
    <row r="22" spans="1:18" ht="15.5" x14ac:dyDescent="0.35">
      <c r="A22" s="830" t="s">
        <v>66</v>
      </c>
      <c r="I22" s="577" t="str">
        <f ca="1">IF(VLOOKUP(B28,CHOOSE({5,4,3,2,1},Gesamt!L32:L65,Gesamt!M32:M65,Gesamt!N32:N65,Gesamt!O32:O65,Gesamt!P32:P65,),4,0)&gt;0,CONCATENATE("Pos. ",VLOOKUP(B28,CHOOSE({5,4,3,2,1},Gesamt!L32:L65,Gesamt!M32:M65,Gesamt!N32:N65,Gesamt!O32:O65,Gesamt!P32:P65,),VLOOKUP(Gesamt!C19,Gesamt!L5:N7,3,0),0)),"")</f>
        <v/>
      </c>
    </row>
    <row r="23" spans="1:18" x14ac:dyDescent="0.35">
      <c r="A23" s="830"/>
      <c r="B23" s="831" t="str">
        <f>CONCATENATE(Gesamt!C2, ": ", Gesamt!E2)</f>
        <v xml:space="preserve">Projekt: </v>
      </c>
      <c r="C23" s="831"/>
      <c r="D23" s="831"/>
      <c r="E23" s="831"/>
      <c r="F23" s="831"/>
      <c r="G23" s="831"/>
      <c r="H23" s="831"/>
      <c r="I23" s="831"/>
    </row>
    <row r="24" spans="1:18" x14ac:dyDescent="0.35">
      <c r="A24" s="830"/>
      <c r="B24" s="832" t="str">
        <f>CONCATENATE(Gesamt!C4, ": ", Gesamt!E4, IF(Gesamt!E5&lt;&gt;""," - ",""), IF(Gesamt!E5&lt;&gt;"",Gesamt!E5,""), IF(Gesamt!E6&lt;&gt;""," - GZ. ",""), IF(Gesamt!E6&lt;&gt;"",Gesamt!E6,""),)</f>
        <v xml:space="preserve">Auftraggeber: </v>
      </c>
      <c r="C24" s="832"/>
      <c r="D24" s="832"/>
      <c r="E24" s="832"/>
      <c r="F24" s="832"/>
      <c r="G24" s="832"/>
      <c r="H24" s="832"/>
      <c r="I24" s="832"/>
    </row>
    <row r="25" spans="1:18" x14ac:dyDescent="0.35">
      <c r="A25" s="830"/>
      <c r="B25" s="832" t="str">
        <f>CONCATENATE(Gesamt!C9, ": ",Gesamt!E9,  IF(Gesamt!C10&lt;&gt;""," - ",""), IF(Gesamt!C10&lt;&gt;"",Gesamt!E10,""), IF(Gesamt!C11&lt;&gt;""," - GZ. ",""), IF(Gesamt!C11&lt;&gt;"",Gesamt!E11,""), )</f>
        <v xml:space="preserve">Bieter:  -  - GZ. </v>
      </c>
      <c r="C25" s="832"/>
      <c r="D25" s="832"/>
      <c r="E25" s="832"/>
      <c r="F25" s="832"/>
      <c r="G25" s="832"/>
      <c r="H25" s="832"/>
      <c r="I25" s="832"/>
    </row>
    <row r="26" spans="1:18" x14ac:dyDescent="0.35">
      <c r="A26" s="830"/>
      <c r="B26" s="832" t="s">
        <v>41</v>
      </c>
      <c r="C26" s="832"/>
      <c r="D26" s="832"/>
      <c r="E26" s="832"/>
      <c r="F26" s="832"/>
      <c r="G26" s="832"/>
      <c r="H26" s="832"/>
      <c r="I26" s="832"/>
    </row>
    <row r="27" spans="1:18" x14ac:dyDescent="0.35">
      <c r="A27" s="830"/>
    </row>
    <row r="28" spans="1:18" s="9" customFormat="1" ht="23.25" customHeight="1" x14ac:dyDescent="0.35">
      <c r="A28" s="830"/>
      <c r="B28" s="843" t="str">
        <f>CONCATENATE(D2," ",D3)</f>
        <v>3d-Planerstellung auf Basis eines 2,5d-LH-Planes</v>
      </c>
      <c r="C28" s="843"/>
      <c r="D28" s="843"/>
      <c r="E28" s="843"/>
      <c r="F28" s="843"/>
      <c r="G28" s="843"/>
      <c r="H28" s="843"/>
      <c r="I28" s="843"/>
      <c r="J28" s="20"/>
      <c r="K28" s="101"/>
      <c r="L28" s="102"/>
      <c r="M28" s="103"/>
      <c r="N28" s="103"/>
      <c r="O28" s="103"/>
      <c r="P28" s="103"/>
      <c r="Q28" s="103"/>
      <c r="R28" s="103"/>
    </row>
    <row r="29" spans="1:18" x14ac:dyDescent="0.35">
      <c r="A29" s="830"/>
    </row>
    <row r="30" spans="1:18" x14ac:dyDescent="0.35">
      <c r="A30" s="830"/>
      <c r="C30" t="s">
        <v>1039</v>
      </c>
    </row>
    <row r="31" spans="1:18" x14ac:dyDescent="0.35">
      <c r="A31" s="830"/>
    </row>
    <row r="32" spans="1:18" x14ac:dyDescent="0.35">
      <c r="A32" s="830"/>
      <c r="C32" t="s">
        <v>959</v>
      </c>
      <c r="E32" s="243">
        <f>IS</f>
        <v>0</v>
      </c>
    </row>
    <row r="33" spans="1:18" x14ac:dyDescent="0.35">
      <c r="A33" s="830"/>
      <c r="E33" s="243"/>
    </row>
    <row r="34" spans="1:18" x14ac:dyDescent="0.35">
      <c r="A34" s="830"/>
      <c r="C34" s="249" t="s">
        <v>741</v>
      </c>
      <c r="E34" s="243"/>
    </row>
    <row r="35" spans="1:18" x14ac:dyDescent="0.35">
      <c r="A35" s="830"/>
      <c r="E35" s="1"/>
    </row>
    <row r="36" spans="1:18" x14ac:dyDescent="0.35">
      <c r="A36" s="830"/>
      <c r="C36" s="1" t="s">
        <v>145</v>
      </c>
      <c r="E36" s="134">
        <f>D5</f>
        <v>0</v>
      </c>
      <c r="G36" s="1"/>
    </row>
    <row r="37" spans="1:18" x14ac:dyDescent="0.35">
      <c r="A37" s="830"/>
      <c r="C37" s="1" t="str">
        <f>IF(G5&gt;0,"zus. Fahrstreifen:","")</f>
        <v/>
      </c>
      <c r="E37" s="134" t="str">
        <f>IF(G5&gt;0,G5,"")</f>
        <v/>
      </c>
      <c r="F37" s="133" t="str">
        <f>IF(G5&gt;0,"(ab dem 3.ten Fahrstreifen bzw. Gleis)","")</f>
        <v/>
      </c>
    </row>
    <row r="38" spans="1:18" x14ac:dyDescent="0.35">
      <c r="A38" s="830"/>
      <c r="C38" s="30" t="str">
        <f>IF(E7&gt;0,"längenbezogene Objekte:","")</f>
        <v/>
      </c>
      <c r="E38" s="134" t="str">
        <f>IF(E7&gt;0,E7,"")</f>
        <v/>
      </c>
      <c r="F38" s="133" t="str">
        <f>IF(E7&gt;0,"(Lärmschutzwände, Stützmauern...)","")</f>
        <v/>
      </c>
    </row>
    <row r="39" spans="1:18" x14ac:dyDescent="0.35">
      <c r="A39" s="830"/>
      <c r="E39" s="109"/>
    </row>
    <row r="40" spans="1:18" x14ac:dyDescent="0.35">
      <c r="A40" s="830"/>
      <c r="C40" t="str">
        <f>IF(E8&gt;0,"Anzahl der Kreuzungen:","")</f>
        <v/>
      </c>
      <c r="E40" s="1" t="str">
        <f>IF(E8&gt;0,E8,"")</f>
        <v/>
      </c>
      <c r="F40" s="135" t="str">
        <f>IF(E8&gt;0,"(Brücken, Unterführungen, Durchlässe)","")</f>
        <v/>
      </c>
    </row>
    <row r="41" spans="1:18" x14ac:dyDescent="0.35">
      <c r="A41" s="830"/>
      <c r="C41" t="str">
        <f>IF(E9&gt;0,"Überlänge oder Überbreite:","")</f>
        <v/>
      </c>
      <c r="E41" s="136" t="str">
        <f>IF(E9&gt;0,E9,"")</f>
        <v/>
      </c>
      <c r="F41" s="133" t="str">
        <f>IF(E9&gt;0,"(pro zusätzlichen Fahrstreifen oder pro 30m Brückenlänge)","")</f>
        <v/>
      </c>
    </row>
    <row r="42" spans="1:18" x14ac:dyDescent="0.35">
      <c r="A42" s="830"/>
    </row>
    <row r="43" spans="1:18" x14ac:dyDescent="0.35">
      <c r="A43" s="830"/>
      <c r="C43" s="2" t="s">
        <v>147</v>
      </c>
      <c r="D43" s="2"/>
      <c r="E43" s="57" t="s">
        <v>148</v>
      </c>
      <c r="F43" s="2"/>
      <c r="G43" s="2"/>
      <c r="H43" s="2"/>
    </row>
    <row r="44" spans="1:18" x14ac:dyDescent="0.35">
      <c r="A44" s="830"/>
      <c r="C44" s="28" t="str">
        <f>IF(D11&gt;0,"A1=","")</f>
        <v/>
      </c>
      <c r="D44" s="121" t="str">
        <f>IF(D11&gt;0,D11,"")</f>
        <v/>
      </c>
      <c r="E44" s="122" t="str">
        <f>IF(D11&gt;0,G11,"")</f>
        <v/>
      </c>
      <c r="F44" s="123"/>
      <c r="G44" s="28"/>
      <c r="H44" s="1"/>
    </row>
    <row r="45" spans="1:18" x14ac:dyDescent="0.35">
      <c r="A45" s="830"/>
      <c r="C45" s="28" t="str">
        <f>IF(D12&gt;0,"A2=","")</f>
        <v/>
      </c>
      <c r="D45" s="121" t="str">
        <f>IF(D12&gt;0,D12,"")</f>
        <v/>
      </c>
      <c r="E45" s="122" t="str">
        <f>IF(D12&gt;0,G12,"")</f>
        <v/>
      </c>
      <c r="F45" s="123"/>
      <c r="G45" s="28"/>
      <c r="H45" s="1"/>
    </row>
    <row r="46" spans="1:18" x14ac:dyDescent="0.35">
      <c r="A46" s="830"/>
      <c r="C46" s="28" t="str">
        <f>IF(D13&gt;0,"A3=","")</f>
        <v/>
      </c>
      <c r="D46" s="121" t="str">
        <f>IF(D13&gt;0,D13,"")</f>
        <v/>
      </c>
      <c r="E46" s="122" t="str">
        <f>IF(D13&gt;0,G13,"")</f>
        <v/>
      </c>
      <c r="F46" s="123"/>
      <c r="G46" s="28"/>
      <c r="H46" s="1"/>
      <c r="K46" s="119"/>
    </row>
    <row r="47" spans="1:18" x14ac:dyDescent="0.35">
      <c r="A47" s="830"/>
      <c r="C47" s="124" t="s">
        <v>146</v>
      </c>
      <c r="D47" s="125">
        <f>SUM(D44:D46)</f>
        <v>0</v>
      </c>
      <c r="E47" s="124"/>
      <c r="F47" s="126"/>
      <c r="G47" s="55"/>
      <c r="H47" s="55"/>
      <c r="K47" s="119"/>
    </row>
    <row r="48" spans="1:18" s="3" customFormat="1" x14ac:dyDescent="0.35">
      <c r="A48" s="830"/>
      <c r="B48"/>
      <c r="C48"/>
      <c r="D48"/>
      <c r="E48" s="127"/>
      <c r="F48" s="128"/>
      <c r="G48"/>
      <c r="H48"/>
      <c r="I48"/>
      <c r="J48" s="23"/>
      <c r="K48" s="120"/>
      <c r="L48" s="104"/>
      <c r="M48" s="105"/>
      <c r="N48" s="105"/>
      <c r="O48" s="105"/>
      <c r="P48" s="105"/>
      <c r="Q48" s="105"/>
      <c r="R48" s="105"/>
    </row>
    <row r="49" spans="1:18" x14ac:dyDescent="0.35">
      <c r="A49" s="830"/>
      <c r="K49" s="119"/>
    </row>
    <row r="50" spans="1:18" x14ac:dyDescent="0.35">
      <c r="A50" s="830"/>
      <c r="B50" s="3"/>
      <c r="C50" s="1" t="s">
        <v>156</v>
      </c>
      <c r="E50" t="str">
        <f>E16</f>
        <v>gleichzeitige Beauftragung der 2,5d Aufnahme</v>
      </c>
      <c r="F50" s="3"/>
      <c r="I50" s="3"/>
    </row>
    <row r="51" spans="1:18" x14ac:dyDescent="0.35">
      <c r="A51" s="830"/>
      <c r="F51" s="118"/>
    </row>
    <row r="52" spans="1:18" x14ac:dyDescent="0.35">
      <c r="A52" s="830"/>
    </row>
    <row r="53" spans="1:18" x14ac:dyDescent="0.35">
      <c r="A53" s="830"/>
    </row>
    <row r="54" spans="1:18" x14ac:dyDescent="0.35">
      <c r="A54" s="830"/>
      <c r="C54" t="s">
        <v>60</v>
      </c>
      <c r="F54" s="118">
        <f>IF(F20&lt;&gt;0,ROUND(N14,2),0)</f>
        <v>0</v>
      </c>
    </row>
    <row r="55" spans="1:18" x14ac:dyDescent="0.35">
      <c r="A55" s="830"/>
      <c r="C55" s="30"/>
      <c r="E55" s="28"/>
      <c r="F55" s="118"/>
    </row>
    <row r="56" spans="1:18" x14ac:dyDescent="0.35">
      <c r="A56" s="830"/>
      <c r="C56" s="30"/>
      <c r="E56" s="28"/>
      <c r="F56" s="118"/>
    </row>
    <row r="57" spans="1:18" x14ac:dyDescent="0.35">
      <c r="A57" s="830"/>
      <c r="C57" t="str">
        <f>IF(AND(ZuAbschlag&lt;&gt;0,VSK&lt;&gt;0),"Zu-/Abschlag:","")</f>
        <v/>
      </c>
      <c r="E57" s="15" t="str">
        <f>IF(AND(ZuAbschlag&lt;&gt;0,VSK&lt;&gt;0),ZuAbschlag,"")</f>
        <v/>
      </c>
      <c r="F57" s="17" t="str">
        <f>IF(AND(ZuAbschlag&lt;&gt;0,VSK&lt;&gt;0),F54*E57,"")</f>
        <v/>
      </c>
      <c r="G57" s="1" t="str">
        <f>IF(AND(ZuAbschlag&lt;&gt;0,VSK&lt;&gt;0,G18&lt;&gt;""),G18,"")</f>
        <v/>
      </c>
    </row>
    <row r="58" spans="1:18" x14ac:dyDescent="0.35">
      <c r="A58" s="830"/>
      <c r="C58" t="str">
        <f>IF(AND(NK&lt;&gt;0,VSK&lt;&gt;0),"Nebenkosten:","")</f>
        <v/>
      </c>
      <c r="F58" s="17" t="str">
        <f>IF(AND(NK&lt;&gt;0,VSK&lt;&gt;0),NK,"")</f>
        <v/>
      </c>
      <c r="G58" s="1" t="str">
        <f>IF(AND(NK&lt;&gt;0,VSK&lt;&gt;0,G19&lt;&gt;""),G19,"")</f>
        <v/>
      </c>
    </row>
    <row r="59" spans="1:18" s="11" customFormat="1" ht="15.5" x14ac:dyDescent="0.35">
      <c r="A59" s="830"/>
      <c r="B59"/>
      <c r="C59" s="30"/>
      <c r="D59"/>
      <c r="E59" s="28"/>
      <c r="F59" s="118"/>
      <c r="G59"/>
      <c r="H59"/>
      <c r="I59"/>
      <c r="J59" s="114"/>
      <c r="K59" s="115"/>
      <c r="L59" s="116"/>
      <c r="M59" s="117"/>
      <c r="N59" s="117"/>
      <c r="O59" s="117"/>
      <c r="P59" s="117"/>
      <c r="Q59" s="117"/>
      <c r="R59" s="117"/>
    </row>
    <row r="60" spans="1:18" x14ac:dyDescent="0.35">
      <c r="A60" s="830"/>
      <c r="C60" s="55"/>
      <c r="D60" s="55"/>
      <c r="E60" s="55"/>
      <c r="F60" s="55"/>
      <c r="G60" s="55"/>
      <c r="H60" s="55"/>
    </row>
    <row r="61" spans="1:18" ht="15.5" x14ac:dyDescent="0.35">
      <c r="A61" s="830"/>
      <c r="B61" s="11"/>
      <c r="C61" s="16" t="s">
        <v>65</v>
      </c>
      <c r="D61" s="110"/>
      <c r="E61" s="110"/>
      <c r="F61" s="113"/>
      <c r="G61" s="842">
        <f>IF(F20,SUM(F54:F58),0)</f>
        <v>0</v>
      </c>
      <c r="H61" s="842"/>
      <c r="I61" s="11"/>
    </row>
    <row r="62" spans="1:18" x14ac:dyDescent="0.35">
      <c r="A62" s="830"/>
      <c r="F62" s="28"/>
    </row>
    <row r="63" spans="1:18" x14ac:dyDescent="0.35">
      <c r="A63" s="830"/>
      <c r="E63" s="15"/>
      <c r="F63" s="17"/>
      <c r="G63" s="1"/>
    </row>
    <row r="64" spans="1:18" x14ac:dyDescent="0.35">
      <c r="A64" s="830"/>
      <c r="F64" s="28"/>
      <c r="G64" s="1"/>
    </row>
    <row r="65" spans="1:18" s="16" customFormat="1" ht="15.5" x14ac:dyDescent="0.35">
      <c r="A65" s="830"/>
      <c r="B65"/>
      <c r="C65"/>
      <c r="D65"/>
      <c r="E65"/>
      <c r="F65" s="17"/>
      <c r="G65" s="1"/>
      <c r="H65"/>
      <c r="I65"/>
      <c r="J65" s="21"/>
      <c r="K65" s="106"/>
      <c r="L65" s="107"/>
      <c r="M65" s="108"/>
      <c r="N65" s="108"/>
      <c r="O65" s="108"/>
      <c r="P65" s="108"/>
      <c r="Q65" s="108"/>
      <c r="R65" s="108"/>
    </row>
    <row r="66" spans="1:18" x14ac:dyDescent="0.35">
      <c r="A66" s="830"/>
    </row>
    <row r="67" spans="1:18" ht="15.5" x14ac:dyDescent="0.35">
      <c r="A67" s="830"/>
      <c r="B67" s="16"/>
      <c r="I67" s="16"/>
    </row>
    <row r="68" spans="1:18" x14ac:dyDescent="0.35">
      <c r="A68" s="830"/>
      <c r="C68" s="111"/>
      <c r="D68" s="111"/>
      <c r="E68" s="111"/>
      <c r="F68" s="111"/>
      <c r="G68" s="111"/>
      <c r="H68" s="112"/>
    </row>
    <row r="69" spans="1:18" x14ac:dyDescent="0.35">
      <c r="A69" s="830"/>
    </row>
    <row r="70" spans="1:18" x14ac:dyDescent="0.35">
      <c r="A70" s="830"/>
    </row>
  </sheetData>
  <mergeCells count="14">
    <mergeCell ref="G61:H61"/>
    <mergeCell ref="A22:A70"/>
    <mergeCell ref="B23:I23"/>
    <mergeCell ref="B24:I24"/>
    <mergeCell ref="B25:I25"/>
    <mergeCell ref="B26:I26"/>
    <mergeCell ref="B28:I28"/>
    <mergeCell ref="A1:A21"/>
    <mergeCell ref="D2:H2"/>
    <mergeCell ref="G20:H20"/>
    <mergeCell ref="D3:H3"/>
    <mergeCell ref="E16:H16"/>
    <mergeCell ref="G18:H18"/>
    <mergeCell ref="G19:H19"/>
  </mergeCells>
  <dataValidations disablePrompts="1" count="2">
    <dataValidation type="decimal" operator="greaterThan" showInputMessage="1" showErrorMessage="1" sqref="E18" xr:uid="{00000000-0002-0000-0C00-000000000000}">
      <formula1>-1000</formula1>
    </dataValidation>
    <dataValidation type="decimal" operator="greaterThan" allowBlank="1" showInputMessage="1" showErrorMessage="1" sqref="E19" xr:uid="{00000000-0002-0000-0C00-000001000000}">
      <formula1>-1000000</formula1>
    </dataValidation>
  </dataValidations>
  <pageMargins left="0.70866141732283472" right="0.39370078740157483" top="0.59055118110236227" bottom="0.59055118110236227" header="0.31496062992125984" footer="0.31496062992125984"/>
  <pageSetup paperSize="9" orientation="portrait" r:id="rId1"/>
  <headerFooter>
    <oddFooter>&amp;L&amp;9&amp;F, &amp;A&amp;R&amp;9&amp;D</oddFooter>
  </headerFooter>
  <legacyDrawing r:id="rId2"/>
  <legacyDrawingHF r:id="rId3"/>
  <extLst>
    <ext xmlns:x14="http://schemas.microsoft.com/office/spreadsheetml/2009/9/main" uri="{CCE6A557-97BC-4b89-ADB6-D9C93CAAB3DF}">
      <x14:dataValidations xmlns:xm="http://schemas.microsoft.com/office/excel/2006/main" disablePrompts="1" count="2">
        <x14:dataValidation type="list" allowBlank="1" showInputMessage="1" showErrorMessage="1" xr:uid="{00000000-0002-0000-0C00-000002000000}">
          <x14:formula1>
            <xm:f>Konstante!$AT$67:$AT$69</xm:f>
          </x14:formula1>
          <xm:sqref>E16:E17</xm:sqref>
        </x14:dataValidation>
        <x14:dataValidation type="list" allowBlank="1" showInputMessage="1" showErrorMessage="1" xr:uid="{00000000-0002-0000-0C00-000003000000}">
          <x14:formula1>
            <xm:f>Konstante!$AQ$67:$AQ$75</xm:f>
          </x14:formula1>
          <xm:sqref>G11:G13</xm:sqref>
        </x14:dataValidation>
      </x14:dataValidations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5"/>
  <dimension ref="A1:R69"/>
  <sheetViews>
    <sheetView zoomScaleNormal="100" zoomScaleSheetLayoutView="100" workbookViewId="0">
      <selection activeCell="D7" sqref="D7:D9"/>
    </sheetView>
  </sheetViews>
  <sheetFormatPr baseColWidth="10" defaultRowHeight="14.5" x14ac:dyDescent="0.35"/>
  <cols>
    <col min="1" max="1" width="4" customWidth="1"/>
    <col min="2" max="2" width="6.7265625" customWidth="1"/>
    <col min="3" max="8" width="12.7265625" customWidth="1"/>
    <col min="9" max="9" width="5.7265625" customWidth="1"/>
    <col min="10" max="10" width="8.7265625" style="18" customWidth="1"/>
    <col min="11" max="11" width="11.453125" style="92"/>
    <col min="12" max="13" width="11.453125" style="93"/>
    <col min="14" max="18" width="11.453125" style="94"/>
  </cols>
  <sheetData>
    <row r="1" spans="1:18" ht="17.25" customHeight="1" x14ac:dyDescent="0.35">
      <c r="A1" s="833" t="s">
        <v>35</v>
      </c>
      <c r="B1" s="45"/>
      <c r="C1" s="45"/>
      <c r="D1" s="45"/>
      <c r="E1" s="45"/>
      <c r="F1" s="45"/>
      <c r="G1" s="45"/>
      <c r="H1" s="45"/>
      <c r="I1" s="45"/>
      <c r="K1" s="93" t="s">
        <v>699</v>
      </c>
      <c r="N1" s="94">
        <f ca="1">CELL("ZEILE",B27)</f>
        <v>27</v>
      </c>
    </row>
    <row r="2" spans="1:18" ht="22.5" customHeight="1" x14ac:dyDescent="0.35">
      <c r="A2" s="833"/>
      <c r="B2" s="46"/>
      <c r="C2" s="47" t="s">
        <v>36</v>
      </c>
      <c r="D2" s="848" t="s">
        <v>1136</v>
      </c>
      <c r="E2" s="849"/>
      <c r="F2" s="849"/>
      <c r="G2" s="849"/>
      <c r="H2" s="850"/>
      <c r="I2" s="45"/>
      <c r="K2" s="175" t="s">
        <v>700</v>
      </c>
      <c r="L2" s="155"/>
      <c r="M2" s="155"/>
      <c r="N2" s="175">
        <f ca="1">CELL("ZEILE",G54)</f>
        <v>54</v>
      </c>
      <c r="O2" s="95"/>
      <c r="P2" s="95"/>
    </row>
    <row r="3" spans="1:18" ht="22.5" customHeight="1" x14ac:dyDescent="0.35">
      <c r="A3" s="833"/>
      <c r="B3" s="46"/>
      <c r="C3" s="61"/>
      <c r="D3" s="909" t="s">
        <v>1135</v>
      </c>
      <c r="E3" s="910"/>
      <c r="F3" s="910"/>
      <c r="G3" s="910"/>
      <c r="H3" s="911"/>
      <c r="I3" s="45"/>
      <c r="K3" s="175" t="s">
        <v>701</v>
      </c>
      <c r="L3" s="155"/>
      <c r="M3" s="155"/>
      <c r="N3" s="175">
        <f>F19</f>
        <v>0</v>
      </c>
      <c r="O3" s="95"/>
      <c r="P3" s="95"/>
    </row>
    <row r="4" spans="1:18" ht="17.25" customHeight="1" x14ac:dyDescent="0.35">
      <c r="A4" s="833"/>
      <c r="B4" s="46"/>
      <c r="C4" s="63"/>
      <c r="D4" s="14"/>
      <c r="E4" s="14"/>
      <c r="F4" s="14"/>
      <c r="G4" s="14"/>
      <c r="H4" s="64"/>
      <c r="I4" s="45"/>
      <c r="K4" s="95"/>
      <c r="L4" s="144"/>
      <c r="M4" s="144"/>
      <c r="N4" s="95"/>
      <c r="O4" s="95"/>
      <c r="P4" s="95"/>
      <c r="Q4" s="95"/>
    </row>
    <row r="5" spans="1:18" ht="17.25" customHeight="1" x14ac:dyDescent="0.35">
      <c r="A5" s="833"/>
      <c r="B5" s="46"/>
      <c r="C5" s="68" t="s">
        <v>169</v>
      </c>
      <c r="D5" s="129" t="s">
        <v>9</v>
      </c>
      <c r="E5" s="13"/>
      <c r="F5" s="13"/>
      <c r="G5" s="13"/>
      <c r="H5" s="138"/>
      <c r="I5" s="45"/>
      <c r="K5" s="95"/>
      <c r="L5" s="144"/>
      <c r="M5" s="144"/>
      <c r="N5" s="95"/>
      <c r="O5" s="95"/>
      <c r="P5" s="95"/>
    </row>
    <row r="6" spans="1:18" ht="17.25" customHeight="1" x14ac:dyDescent="0.35">
      <c r="A6" s="833"/>
      <c r="B6" s="46"/>
      <c r="C6" s="137"/>
      <c r="D6" s="13"/>
      <c r="E6" s="10"/>
      <c r="F6" s="13"/>
      <c r="G6" s="13"/>
      <c r="H6" s="138"/>
      <c r="I6" s="45"/>
      <c r="K6" s="94"/>
      <c r="L6" s="93" t="s">
        <v>120</v>
      </c>
      <c r="M6" s="93" t="s">
        <v>141</v>
      </c>
    </row>
    <row r="7" spans="1:18" ht="19.5" customHeight="1" x14ac:dyDescent="0.35">
      <c r="A7" s="833"/>
      <c r="B7" s="46"/>
      <c r="C7" s="68" t="s">
        <v>111</v>
      </c>
      <c r="D7" s="131"/>
      <c r="E7" s="13"/>
      <c r="F7" s="70" t="s">
        <v>113</v>
      </c>
      <c r="G7" s="71" t="s">
        <v>20</v>
      </c>
      <c r="H7" s="138"/>
      <c r="I7" s="45"/>
      <c r="K7" s="94"/>
      <c r="L7" s="93">
        <f ca="1">VLOOKUP($G7,INDIRECT(VLOOKUP($D$5,Konstante!$AH$68:$AL$72,2,FALSE)),VLOOKUP($D7,Konstante!$AH$75:$AI$78,2,TRUE))</f>
        <v>-12.26</v>
      </c>
      <c r="M7" s="93">
        <f ca="1">VLOOKUP($G7,INDIRECT(VLOOKUP($D$5,Konstante!$AH$68:$AL$72,4,FALSE)),VLOOKUP($D7,Konstante!$AH$75:$AI$78,2,TRUE))</f>
        <v>27.06</v>
      </c>
      <c r="N7" s="94">
        <f ca="1">D7*(L7*D7+M7)*$K$13*IS*$K$12</f>
        <v>0</v>
      </c>
    </row>
    <row r="8" spans="1:18" s="2" customFormat="1" ht="20.149999999999999" customHeight="1" x14ac:dyDescent="0.35">
      <c r="A8" s="833"/>
      <c r="B8" s="46"/>
      <c r="C8" s="68" t="s">
        <v>111</v>
      </c>
      <c r="D8" s="131"/>
      <c r="E8" s="13"/>
      <c r="F8" s="70" t="s">
        <v>113</v>
      </c>
      <c r="G8" s="71" t="s">
        <v>20</v>
      </c>
      <c r="H8" s="138"/>
      <c r="I8" s="47"/>
      <c r="J8" s="19"/>
      <c r="K8" s="98"/>
      <c r="L8" s="93">
        <f ca="1">VLOOKUP($G8,INDIRECT(VLOOKUP($D$5,Konstante!$AH$68:$AL$72,2,FALSE)),VLOOKUP($D8,Konstante!$AH$75:$AI$78,2,TRUE))</f>
        <v>-12.26</v>
      </c>
      <c r="M8" s="93">
        <f ca="1">VLOOKUP($G8,INDIRECT(VLOOKUP($D$5,Konstante!$AH$68:$AL$72,4,FALSE)),VLOOKUP($D8,Konstante!$AH$75:$AI$78,2,TRUE))</f>
        <v>27.06</v>
      </c>
      <c r="N8" s="94">
        <f ca="1">D8*(L8*D8+M8)*$K$13*IS*$K$12</f>
        <v>0</v>
      </c>
      <c r="O8" s="98"/>
      <c r="P8" s="98"/>
      <c r="Q8" s="98"/>
      <c r="R8" s="98"/>
    </row>
    <row r="9" spans="1:18" s="2" customFormat="1" ht="20.149999999999999" customHeight="1" x14ac:dyDescent="0.35">
      <c r="A9" s="833"/>
      <c r="B9" s="46"/>
      <c r="C9" s="68" t="s">
        <v>111</v>
      </c>
      <c r="D9" s="463"/>
      <c r="E9" s="13"/>
      <c r="F9" s="70" t="s">
        <v>113</v>
      </c>
      <c r="G9" s="71" t="s">
        <v>20</v>
      </c>
      <c r="H9" s="138"/>
      <c r="I9" s="46"/>
      <c r="J9" s="19"/>
      <c r="K9" s="98"/>
      <c r="L9" s="93">
        <f ca="1">VLOOKUP($G9,INDIRECT(VLOOKUP($D$5,Konstante!$AH$68:$AL$72,2,FALSE)),VLOOKUP($D9,Konstante!$AH$75:$AI$78,2,TRUE))</f>
        <v>-12.26</v>
      </c>
      <c r="M9" s="93">
        <f ca="1">VLOOKUP($G9,INDIRECT(VLOOKUP($D$5,Konstante!$AH$68:$AL$72,4,FALSE)),VLOOKUP($D9,Konstante!$AH$75:$AI$78,2,TRUE))</f>
        <v>27.06</v>
      </c>
      <c r="N9" s="94">
        <f ca="1">D9*(L9*D9+M9)*$K$13*IS*$K$12</f>
        <v>0</v>
      </c>
      <c r="O9" s="98"/>
      <c r="P9" s="98"/>
      <c r="Q9" s="98"/>
      <c r="R9" s="98"/>
    </row>
    <row r="10" spans="1:18" s="2" customFormat="1" ht="20.149999999999999" customHeight="1" x14ac:dyDescent="0.35">
      <c r="A10" s="833"/>
      <c r="B10" s="46"/>
      <c r="C10" s="68" t="s">
        <v>112</v>
      </c>
      <c r="D10" s="143">
        <f>SUM(D7:D9)</f>
        <v>0</v>
      </c>
      <c r="E10" s="14" t="s">
        <v>158</v>
      </c>
      <c r="F10" s="13"/>
      <c r="G10" s="13"/>
      <c r="H10" s="138"/>
      <c r="I10" s="46"/>
      <c r="J10" s="19"/>
      <c r="K10" s="98"/>
      <c r="L10" s="93"/>
      <c r="M10" s="93"/>
      <c r="N10" s="98">
        <f ca="1">SUM(N7:N9)</f>
        <v>0</v>
      </c>
      <c r="O10" s="98"/>
      <c r="P10" s="98"/>
      <c r="Q10" s="98"/>
      <c r="R10" s="98"/>
    </row>
    <row r="11" spans="1:18" s="2" customFormat="1" ht="20.149999999999999" customHeight="1" x14ac:dyDescent="0.35">
      <c r="A11" s="833"/>
      <c r="B11" s="46"/>
      <c r="C11" s="7"/>
      <c r="D11" s="13"/>
      <c r="E11" s="13"/>
      <c r="F11" s="13"/>
      <c r="G11" s="13"/>
      <c r="H11" s="138"/>
      <c r="I11" s="46"/>
      <c r="J11" s="19"/>
      <c r="K11" s="98"/>
      <c r="L11" s="93"/>
      <c r="M11" s="93"/>
      <c r="N11" s="98"/>
      <c r="O11" s="98"/>
      <c r="P11" s="98"/>
      <c r="Q11" s="98"/>
      <c r="R11" s="98"/>
    </row>
    <row r="12" spans="1:18" s="2" customFormat="1" ht="20.149999999999999" customHeight="1" x14ac:dyDescent="0.35">
      <c r="A12" s="833"/>
      <c r="B12" s="46"/>
      <c r="C12" s="68" t="s">
        <v>171</v>
      </c>
      <c r="D12" s="142" t="s">
        <v>167</v>
      </c>
      <c r="E12" s="14"/>
      <c r="F12" s="13"/>
      <c r="G12" s="13"/>
      <c r="H12" s="138"/>
      <c r="I12" s="47"/>
      <c r="J12" s="19"/>
      <c r="K12" s="98">
        <f>VLOOKUP(D12,Konstante!AW67:AX68,2,FALSE)</f>
        <v>0.4</v>
      </c>
      <c r="L12" s="93"/>
      <c r="M12" s="93"/>
      <c r="N12" s="98"/>
      <c r="O12" s="98"/>
      <c r="P12" s="98"/>
      <c r="Q12" s="98"/>
      <c r="R12" s="98"/>
    </row>
    <row r="13" spans="1:18" s="2" customFormat="1" ht="20.149999999999999" customHeight="1" x14ac:dyDescent="0.35">
      <c r="A13" s="833"/>
      <c r="B13" s="45"/>
      <c r="C13" s="68" t="s">
        <v>110</v>
      </c>
      <c r="D13" s="908" t="s">
        <v>1137</v>
      </c>
      <c r="E13" s="908"/>
      <c r="F13" s="908"/>
      <c r="G13" s="13"/>
      <c r="H13" s="138"/>
      <c r="I13" s="47"/>
      <c r="J13" s="19"/>
      <c r="K13" s="98">
        <f>VLOOKUP(D13,Konstante!AN67:AO70,2,FALSE)</f>
        <v>1</v>
      </c>
      <c r="L13" s="97"/>
      <c r="M13" s="100"/>
      <c r="N13" s="146"/>
      <c r="O13" s="98"/>
      <c r="P13" s="98"/>
      <c r="Q13" s="98"/>
      <c r="R13" s="98"/>
    </row>
    <row r="14" spans="1:18" s="2" customFormat="1" ht="20.149999999999999" customHeight="1" x14ac:dyDescent="0.35">
      <c r="A14" s="833"/>
      <c r="B14" s="46"/>
      <c r="C14" s="137"/>
      <c r="D14" s="13"/>
      <c r="E14" s="13"/>
      <c r="F14" s="13"/>
      <c r="G14" s="13"/>
      <c r="H14" s="138"/>
      <c r="I14" s="47"/>
      <c r="J14" s="19"/>
      <c r="K14" s="98"/>
      <c r="L14" s="97"/>
      <c r="M14" s="100"/>
      <c r="N14" s="146"/>
      <c r="O14" s="98"/>
      <c r="P14" s="98"/>
      <c r="Q14" s="98"/>
      <c r="R14" s="98"/>
    </row>
    <row r="15" spans="1:18" s="2" customFormat="1" ht="20.149999999999999" customHeight="1" x14ac:dyDescent="0.25">
      <c r="A15" s="833"/>
      <c r="B15" s="46"/>
      <c r="C15" s="47"/>
      <c r="D15" s="47"/>
      <c r="E15" s="53"/>
      <c r="F15" s="47"/>
      <c r="G15" s="592" t="s">
        <v>633</v>
      </c>
      <c r="H15" s="46"/>
      <c r="I15" s="47"/>
      <c r="J15" s="19"/>
      <c r="K15" s="98"/>
      <c r="L15" s="97"/>
      <c r="M15" s="100"/>
      <c r="N15" s="146"/>
      <c r="O15" s="98"/>
      <c r="P15" s="98"/>
      <c r="Q15" s="98"/>
      <c r="R15" s="98"/>
    </row>
    <row r="16" spans="1:18" s="2" customFormat="1" ht="20.149999999999999" customHeight="1" x14ac:dyDescent="0.35">
      <c r="A16" s="833"/>
      <c r="B16" s="46"/>
      <c r="C16" s="47" t="s">
        <v>34</v>
      </c>
      <c r="D16" s="47"/>
      <c r="E16" s="320"/>
      <c r="F16" s="47"/>
      <c r="G16" s="868"/>
      <c r="H16" s="869"/>
      <c r="I16" s="47"/>
      <c r="J16" s="19"/>
      <c r="K16" s="98"/>
      <c r="L16" s="100"/>
      <c r="M16" s="100"/>
      <c r="N16" s="146"/>
      <c r="O16" s="98"/>
      <c r="P16" s="98"/>
      <c r="Q16" s="98"/>
      <c r="R16" s="98"/>
    </row>
    <row r="17" spans="1:18" s="2" customFormat="1" ht="20.149999999999999" customHeight="1" x14ac:dyDescent="0.35">
      <c r="A17" s="833"/>
      <c r="B17" s="46"/>
      <c r="C17" s="47" t="s">
        <v>1</v>
      </c>
      <c r="D17" s="47"/>
      <c r="E17" s="321"/>
      <c r="F17" s="47"/>
      <c r="G17" s="867"/>
      <c r="H17" s="867"/>
      <c r="I17" s="47"/>
      <c r="J17" s="19"/>
      <c r="K17" s="98"/>
      <c r="L17" s="100"/>
      <c r="M17" s="100"/>
      <c r="N17" s="146"/>
      <c r="O17" s="98"/>
      <c r="P17" s="98"/>
      <c r="Q17" s="98"/>
      <c r="R17" s="98"/>
    </row>
    <row r="18" spans="1:18" s="2" customFormat="1" ht="20.149999999999999" customHeight="1" x14ac:dyDescent="0.35">
      <c r="A18" s="833"/>
      <c r="B18" s="46"/>
      <c r="C18" s="46"/>
      <c r="D18" s="139"/>
      <c r="E18" s="139"/>
      <c r="F18" s="139"/>
      <c r="G18" s="139"/>
      <c r="H18" s="140"/>
      <c r="I18" s="45"/>
      <c r="J18" s="19"/>
      <c r="K18" s="96"/>
      <c r="L18" s="100"/>
      <c r="M18" s="100"/>
      <c r="N18" s="99"/>
      <c r="O18" s="98"/>
      <c r="P18" s="98"/>
      <c r="Q18" s="98"/>
      <c r="R18" s="98"/>
    </row>
    <row r="19" spans="1:18" ht="19.5" customHeight="1" x14ac:dyDescent="0.5">
      <c r="A19" s="833"/>
      <c r="B19" s="45"/>
      <c r="C19" s="54" t="str">
        <f>IF(F19=0, "UNVOLLSTÄNDIG AUSGEFÜLLT!","")</f>
        <v>UNVOLLSTÄNDIG AUSGEFÜLLT!</v>
      </c>
      <c r="D19" s="45"/>
      <c r="E19" s="45"/>
      <c r="F19" s="451">
        <f>IF(AND(D7&lt;0.01,D8&lt;0.01,D9&lt;0.01),0,1)</f>
        <v>0</v>
      </c>
      <c r="G19" s="852" t="str">
        <f>IF(F19&lt;&gt;0, G54,"")</f>
        <v/>
      </c>
      <c r="H19" s="852"/>
      <c r="I19" s="45"/>
      <c r="M19" s="92"/>
    </row>
    <row r="20" spans="1:18" ht="19.5" customHeight="1" x14ac:dyDescent="0.35">
      <c r="A20" s="833"/>
      <c r="B20" s="45"/>
      <c r="C20" s="45"/>
      <c r="D20" s="45"/>
      <c r="E20" s="45"/>
      <c r="F20" s="45"/>
      <c r="G20" s="45"/>
      <c r="H20" s="45"/>
      <c r="I20" s="45"/>
    </row>
    <row r="21" spans="1:18" ht="15.5" x14ac:dyDescent="0.35">
      <c r="A21" s="830" t="s">
        <v>66</v>
      </c>
      <c r="I21" s="577" t="str">
        <f ca="1">IF(VLOOKUP(B27,CHOOSE({5,4,3,2,1},Gesamt!L32:L65,Gesamt!M32:M65,Gesamt!N32:N65,Gesamt!O32:O65,Gesamt!P32:P65,),4,0)&gt;0,CONCATENATE("Pos. ",VLOOKUP(B27,CHOOSE({5,4,3,2,1},Gesamt!L32:L65,Gesamt!M32:M65,Gesamt!N32:N65,Gesamt!O32:O65,Gesamt!P32:P65,),VLOOKUP(Gesamt!C19,Gesamt!L5:N7,3,0),0)),"")</f>
        <v/>
      </c>
    </row>
    <row r="22" spans="1:18" x14ac:dyDescent="0.35">
      <c r="A22" s="830"/>
      <c r="B22" s="831" t="str">
        <f>CONCATENATE(Gesamt!C2, ": ", Gesamt!E2)</f>
        <v xml:space="preserve">Projekt: </v>
      </c>
      <c r="C22" s="831"/>
      <c r="D22" s="831"/>
      <c r="E22" s="831"/>
      <c r="F22" s="831"/>
      <c r="G22" s="831"/>
      <c r="H22" s="831"/>
      <c r="I22" s="831"/>
    </row>
    <row r="23" spans="1:18" x14ac:dyDescent="0.35">
      <c r="A23" s="830"/>
      <c r="B23" s="832" t="str">
        <f>CONCATENATE(Gesamt!C4, ": ", Gesamt!E4, IF(Gesamt!E5&lt;&gt;""," - ",""), IF(Gesamt!E5&lt;&gt;"",Gesamt!E5,""), IF(Gesamt!E6&lt;&gt;""," - GZ. ",""), IF(Gesamt!E6&lt;&gt;"",Gesamt!E6,""),)</f>
        <v xml:space="preserve">Auftraggeber: </v>
      </c>
      <c r="C23" s="832"/>
      <c r="D23" s="832"/>
      <c r="E23" s="832"/>
      <c r="F23" s="832"/>
      <c r="G23" s="832"/>
      <c r="H23" s="832"/>
      <c r="I23" s="832"/>
    </row>
    <row r="24" spans="1:18" x14ac:dyDescent="0.35">
      <c r="A24" s="830"/>
      <c r="B24" s="832" t="str">
        <f>CONCATENATE(Gesamt!C9, ": ",Gesamt!E9,  IF(Gesamt!C10&lt;&gt;""," - ",""), IF(Gesamt!C10&lt;&gt;"",Gesamt!E10,""), IF(Gesamt!C11&lt;&gt;""," - GZ. ",""), IF(Gesamt!C11&lt;&gt;"",Gesamt!E11,""), )</f>
        <v xml:space="preserve">Bieter:  -  - GZ. </v>
      </c>
      <c r="C24" s="832"/>
      <c r="D24" s="832"/>
      <c r="E24" s="832"/>
      <c r="F24" s="832"/>
      <c r="G24" s="832"/>
      <c r="H24" s="832"/>
      <c r="I24" s="832"/>
    </row>
    <row r="25" spans="1:18" x14ac:dyDescent="0.35">
      <c r="A25" s="830"/>
      <c r="B25" s="832" t="s">
        <v>41</v>
      </c>
      <c r="C25" s="832"/>
      <c r="D25" s="832"/>
      <c r="E25" s="832"/>
      <c r="F25" s="832"/>
      <c r="G25" s="832"/>
      <c r="H25" s="832"/>
      <c r="I25" s="832"/>
    </row>
    <row r="26" spans="1:18" x14ac:dyDescent="0.35">
      <c r="A26" s="830"/>
    </row>
    <row r="27" spans="1:18" s="9" customFormat="1" ht="23.25" customHeight="1" x14ac:dyDescent="0.35">
      <c r="A27" s="830"/>
      <c r="B27" s="843" t="str">
        <f>CONCATENATE(D2," ",D3)</f>
        <v>Umbildung einer Geländeaufnahme durch Maßstabsänderung</v>
      </c>
      <c r="C27" s="843"/>
      <c r="D27" s="843"/>
      <c r="E27" s="843"/>
      <c r="F27" s="843"/>
      <c r="G27" s="843"/>
      <c r="H27" s="843"/>
      <c r="I27" s="843"/>
      <c r="J27" s="20"/>
      <c r="K27" s="101"/>
      <c r="L27" s="102"/>
      <c r="M27" s="102"/>
      <c r="N27" s="103"/>
      <c r="O27" s="103"/>
      <c r="P27" s="103"/>
      <c r="Q27" s="103"/>
      <c r="R27" s="103"/>
    </row>
    <row r="28" spans="1:18" x14ac:dyDescent="0.35">
      <c r="A28" s="830"/>
    </row>
    <row r="29" spans="1:18" x14ac:dyDescent="0.35">
      <c r="A29" s="830"/>
      <c r="C29" t="s">
        <v>690</v>
      </c>
    </row>
    <row r="30" spans="1:18" x14ac:dyDescent="0.35">
      <c r="A30" s="830"/>
    </row>
    <row r="31" spans="1:18" x14ac:dyDescent="0.35">
      <c r="A31" s="830"/>
      <c r="C31" t="s">
        <v>959</v>
      </c>
      <c r="E31" s="243">
        <f>IS</f>
        <v>0</v>
      </c>
    </row>
    <row r="32" spans="1:18" x14ac:dyDescent="0.35">
      <c r="A32" s="830"/>
      <c r="E32" s="243"/>
    </row>
    <row r="33" spans="1:18" x14ac:dyDescent="0.35">
      <c r="A33" s="830"/>
      <c r="C33" t="str">
        <f>VLOOKUP(D12,Konstante!AW67:AY68,3)</f>
        <v>H = F * (k * F + d) * E * IS * 0,40 + N</v>
      </c>
      <c r="E33" s="243"/>
    </row>
    <row r="34" spans="1:18" x14ac:dyDescent="0.35">
      <c r="A34" s="830"/>
    </row>
    <row r="35" spans="1:18" x14ac:dyDescent="0.35">
      <c r="A35" s="830"/>
      <c r="C35" s="1" t="s">
        <v>169</v>
      </c>
      <c r="E35" t="str">
        <f>D5</f>
        <v>1:500</v>
      </c>
    </row>
    <row r="36" spans="1:18" x14ac:dyDescent="0.35">
      <c r="A36" s="830"/>
      <c r="C36" s="1" t="s">
        <v>110</v>
      </c>
      <c r="E36" t="str">
        <f>D13</f>
        <v>wiederholte Datenlieferung</v>
      </c>
    </row>
    <row r="37" spans="1:18" x14ac:dyDescent="0.35">
      <c r="A37" s="830"/>
      <c r="C37" s="30" t="s">
        <v>171</v>
      </c>
      <c r="E37" s="141" t="str">
        <f>D12</f>
        <v>analog</v>
      </c>
    </row>
    <row r="38" spans="1:18" x14ac:dyDescent="0.35">
      <c r="A38" s="830"/>
      <c r="C38" s="30"/>
      <c r="E38" s="141"/>
    </row>
    <row r="39" spans="1:18" x14ac:dyDescent="0.35">
      <c r="A39" s="830"/>
      <c r="E39" s="134"/>
    </row>
    <row r="40" spans="1:18" x14ac:dyDescent="0.35">
      <c r="A40" s="830"/>
      <c r="C40" s="2" t="s">
        <v>147</v>
      </c>
      <c r="D40" s="2"/>
      <c r="E40" s="57" t="s">
        <v>148</v>
      </c>
    </row>
    <row r="41" spans="1:18" x14ac:dyDescent="0.35">
      <c r="A41" s="830"/>
      <c r="C41" s="28" t="str">
        <f>IF(D7&gt;0,"A1=","")</f>
        <v/>
      </c>
      <c r="D41" s="121" t="str">
        <f>IF(D7&gt;0,D7,"")</f>
        <v/>
      </c>
      <c r="E41" s="122" t="str">
        <f>IF(D7&gt;0,G7,"")</f>
        <v/>
      </c>
    </row>
    <row r="42" spans="1:18" x14ac:dyDescent="0.35">
      <c r="A42" s="830"/>
      <c r="C42" s="28" t="str">
        <f>IF(D8&gt;0,"A2=","")</f>
        <v/>
      </c>
      <c r="D42" s="121" t="str">
        <f t="shared" ref="D42:D43" si="0">IF(D8&gt;0,D8,"")</f>
        <v/>
      </c>
      <c r="E42" s="122" t="str">
        <f t="shared" ref="E42:E43" si="1">IF(D8&gt;0,G8,"")</f>
        <v/>
      </c>
    </row>
    <row r="43" spans="1:18" x14ac:dyDescent="0.35">
      <c r="A43" s="830"/>
      <c r="C43" s="147" t="str">
        <f>IF(D9&gt;0,"A3=","")</f>
        <v/>
      </c>
      <c r="D43" s="148" t="str">
        <f t="shared" si="0"/>
        <v/>
      </c>
      <c r="E43" s="149" t="str">
        <f t="shared" si="1"/>
        <v/>
      </c>
      <c r="F43" s="150"/>
      <c r="G43" s="150"/>
      <c r="H43" s="150"/>
    </row>
    <row r="44" spans="1:18" x14ac:dyDescent="0.35">
      <c r="A44" s="830"/>
      <c r="C44" s="28" t="s">
        <v>146</v>
      </c>
      <c r="D44" s="121">
        <f>SUM(D41:D43)</f>
        <v>0</v>
      </c>
      <c r="E44" s="28"/>
      <c r="F44" s="123"/>
      <c r="G44" s="28"/>
      <c r="H44" s="1"/>
    </row>
    <row r="45" spans="1:18" x14ac:dyDescent="0.35">
      <c r="A45" s="830"/>
      <c r="C45" s="28"/>
      <c r="D45" s="121"/>
      <c r="E45" s="122"/>
      <c r="F45" s="123"/>
      <c r="G45" s="28"/>
      <c r="H45" s="1"/>
      <c r="K45" s="119"/>
    </row>
    <row r="46" spans="1:18" x14ac:dyDescent="0.35">
      <c r="A46" s="830"/>
      <c r="C46" s="28"/>
      <c r="D46" s="121"/>
      <c r="E46" s="122"/>
      <c r="F46" s="123"/>
      <c r="G46" s="28"/>
      <c r="H46" s="1"/>
      <c r="K46" s="119"/>
    </row>
    <row r="47" spans="1:18" s="3" customFormat="1" x14ac:dyDescent="0.35">
      <c r="A47" s="830"/>
      <c r="B47"/>
      <c r="C47" t="s">
        <v>60</v>
      </c>
      <c r="D47"/>
      <c r="E47"/>
      <c r="F47" s="118">
        <f>IF(F19&lt;&gt;0,ROUND(N10,2),0)</f>
        <v>0</v>
      </c>
      <c r="G47"/>
      <c r="H47"/>
      <c r="I47"/>
      <c r="J47" s="23"/>
      <c r="K47" s="120"/>
      <c r="L47" s="104"/>
      <c r="M47" s="104"/>
      <c r="N47" s="105"/>
      <c r="O47" s="105"/>
      <c r="P47" s="105"/>
      <c r="Q47" s="105"/>
      <c r="R47" s="105"/>
    </row>
    <row r="48" spans="1:18" x14ac:dyDescent="0.35">
      <c r="A48" s="830"/>
      <c r="E48" s="127"/>
      <c r="F48" s="128"/>
      <c r="K48" s="119"/>
    </row>
    <row r="49" spans="1:18" x14ac:dyDescent="0.35">
      <c r="A49" s="830"/>
      <c r="E49" s="127"/>
      <c r="F49" s="128"/>
      <c r="K49" s="119"/>
    </row>
    <row r="50" spans="1:18" x14ac:dyDescent="0.35">
      <c r="A50" s="830"/>
      <c r="B50" s="3"/>
      <c r="C50" t="str">
        <f>IF(AND(ZuAbschlag&lt;&gt;0,VSK&lt;&gt;0),"Zu-/Abschlag:","")</f>
        <v/>
      </c>
      <c r="E50" s="15" t="str">
        <f>IF(AND(ZuAbschlag&lt;&gt;0,VSK&lt;&gt;0),ZuAbschlag,"")</f>
        <v/>
      </c>
      <c r="F50" s="17" t="str">
        <f>IF(AND(ZuAbschlag&lt;&gt;0,VSK&lt;&gt;0),F47*E50,"")</f>
        <v/>
      </c>
      <c r="G50" s="1" t="str">
        <f>IF(AND(ZuAbschlag&lt;&gt;0,VSK&lt;&gt;0,G16&lt;&gt;""),G16,"")</f>
        <v/>
      </c>
      <c r="I50" s="3"/>
    </row>
    <row r="51" spans="1:18" x14ac:dyDescent="0.35">
      <c r="A51" s="830"/>
      <c r="C51" t="str">
        <f>IF(AND(NK&lt;&gt;0,VSK&lt;&gt;0),"Nebenkosten:","")</f>
        <v/>
      </c>
      <c r="F51" s="17" t="str">
        <f>IF(AND(NK&lt;&gt;0,VSK&lt;&gt;0),NK,"")</f>
        <v/>
      </c>
      <c r="G51" s="1" t="str">
        <f>IF(AND(NK&lt;&gt;0,VSK&lt;&gt;0,G17&lt;&gt;""),G17,"")</f>
        <v/>
      </c>
    </row>
    <row r="52" spans="1:18" x14ac:dyDescent="0.35">
      <c r="A52" s="830"/>
      <c r="C52" s="78"/>
      <c r="D52" s="78"/>
      <c r="E52" s="78"/>
      <c r="F52" s="151"/>
      <c r="G52" s="78"/>
      <c r="H52" s="78"/>
    </row>
    <row r="53" spans="1:18" x14ac:dyDescent="0.35">
      <c r="A53" s="830"/>
      <c r="C53" t="str">
        <f>IF(E18&gt;0,"Nebenkosten:","")</f>
        <v/>
      </c>
      <c r="F53" s="118" t="str">
        <f>IF(E18&gt;0,ROUND(E18,2),"")</f>
        <v/>
      </c>
    </row>
    <row r="54" spans="1:18" ht="15.5" x14ac:dyDescent="0.35">
      <c r="A54" s="830"/>
      <c r="C54" s="16" t="s">
        <v>65</v>
      </c>
      <c r="D54" s="110"/>
      <c r="E54" s="110"/>
      <c r="F54" s="113"/>
      <c r="G54" s="842">
        <f>IF(F19=1,SUM(F47:F51),0)</f>
        <v>0</v>
      </c>
      <c r="H54" s="842"/>
    </row>
    <row r="55" spans="1:18" s="11" customFormat="1" ht="15.5" x14ac:dyDescent="0.35">
      <c r="A55" s="830"/>
      <c r="B55"/>
      <c r="C55" s="30" t="str">
        <f>IF(O15&lt;&gt;0,"ohne Höhenschichtenlinien (-10%):","")</f>
        <v/>
      </c>
      <c r="D55"/>
      <c r="E55" s="28"/>
      <c r="F55" s="118" t="str">
        <f>IF(O15&lt;&gt;0,ROUND(O15,2),"")</f>
        <v/>
      </c>
      <c r="G55"/>
      <c r="H55"/>
      <c r="I55"/>
      <c r="J55" s="114"/>
      <c r="K55" s="115"/>
      <c r="L55" s="116"/>
      <c r="M55" s="116"/>
      <c r="N55" s="117"/>
      <c r="O55" s="117"/>
      <c r="P55" s="117"/>
      <c r="Q55" s="117"/>
      <c r="R55" s="117"/>
    </row>
    <row r="56" spans="1:18" x14ac:dyDescent="0.35">
      <c r="A56" s="830"/>
      <c r="C56" s="30" t="str">
        <f>IF(O16&lt;&gt;0,"Höhenkoten nicht freistellen (-5%):","")</f>
        <v/>
      </c>
      <c r="E56" s="28"/>
      <c r="F56" s="118" t="str">
        <f>IF(O16&lt;&gt;0,ROUND(O16,2),"")</f>
        <v/>
      </c>
    </row>
    <row r="57" spans="1:18" ht="15.5" x14ac:dyDescent="0.35">
      <c r="A57" s="830"/>
      <c r="B57" s="11"/>
      <c r="I57" s="11"/>
    </row>
    <row r="58" spans="1:18" ht="15.5" x14ac:dyDescent="0.35">
      <c r="A58" s="830"/>
      <c r="C58" s="11"/>
      <c r="D58" s="110"/>
      <c r="E58" s="110"/>
      <c r="F58" s="113"/>
      <c r="G58" s="841"/>
      <c r="H58" s="841"/>
    </row>
    <row r="59" spans="1:18" x14ac:dyDescent="0.35">
      <c r="A59" s="830"/>
      <c r="F59" s="28"/>
    </row>
    <row r="60" spans="1:18" x14ac:dyDescent="0.35">
      <c r="A60" s="830"/>
      <c r="E60" s="15"/>
      <c r="F60" s="17"/>
      <c r="G60" s="1"/>
    </row>
    <row r="61" spans="1:18" s="16" customFormat="1" ht="15.5" x14ac:dyDescent="0.35">
      <c r="A61" s="830"/>
      <c r="B61"/>
      <c r="C61"/>
      <c r="D61"/>
      <c r="E61"/>
      <c r="F61" s="28"/>
      <c r="G61" s="1"/>
      <c r="H61"/>
      <c r="I61"/>
      <c r="J61" s="21"/>
      <c r="K61" s="106"/>
      <c r="L61" s="107"/>
      <c r="M61" s="107"/>
      <c r="N61" s="108"/>
      <c r="O61" s="108"/>
      <c r="P61" s="108"/>
      <c r="Q61" s="108"/>
      <c r="R61" s="108"/>
    </row>
    <row r="62" spans="1:18" x14ac:dyDescent="0.35">
      <c r="A62" s="830"/>
      <c r="F62" s="17"/>
      <c r="G62" s="1"/>
    </row>
    <row r="63" spans="1:18" ht="15.5" x14ac:dyDescent="0.35">
      <c r="A63" s="830"/>
      <c r="B63" s="16"/>
      <c r="I63" s="16"/>
    </row>
    <row r="64" spans="1:18" x14ac:dyDescent="0.35">
      <c r="A64" s="830"/>
    </row>
    <row r="65" spans="1:8" x14ac:dyDescent="0.35">
      <c r="A65" s="830"/>
      <c r="C65" s="111"/>
      <c r="D65" s="111"/>
      <c r="E65" s="111"/>
      <c r="F65" s="111"/>
      <c r="G65" s="111"/>
      <c r="H65" s="112"/>
    </row>
    <row r="66" spans="1:8" x14ac:dyDescent="0.35">
      <c r="A66" s="830"/>
    </row>
    <row r="67" spans="1:8" x14ac:dyDescent="0.35">
      <c r="A67" s="830"/>
    </row>
    <row r="68" spans="1:8" x14ac:dyDescent="0.35">
      <c r="A68" s="830"/>
    </row>
    <row r="69" spans="1:8" x14ac:dyDescent="0.35">
      <c r="A69" s="830"/>
    </row>
  </sheetData>
  <mergeCells count="15">
    <mergeCell ref="G58:H58"/>
    <mergeCell ref="D3:H3"/>
    <mergeCell ref="D13:F13"/>
    <mergeCell ref="G54:H54"/>
    <mergeCell ref="A1:A20"/>
    <mergeCell ref="D2:H2"/>
    <mergeCell ref="G19:H19"/>
    <mergeCell ref="A21:A69"/>
    <mergeCell ref="B22:I22"/>
    <mergeCell ref="B23:I23"/>
    <mergeCell ref="B24:I24"/>
    <mergeCell ref="B25:I25"/>
    <mergeCell ref="B27:I27"/>
    <mergeCell ref="G16:H16"/>
    <mergeCell ref="G17:H17"/>
  </mergeCells>
  <dataValidations count="3">
    <dataValidation type="decimal" operator="greaterThan" showInputMessage="1" showErrorMessage="1" sqref="E16" xr:uid="{00000000-0002-0000-0D00-000000000000}">
      <formula1>-1000</formula1>
    </dataValidation>
    <dataValidation type="decimal" operator="greaterThan" allowBlank="1" showInputMessage="1" showErrorMessage="1" sqref="E17" xr:uid="{00000000-0002-0000-0D00-000001000000}">
      <formula1>-1000000</formula1>
    </dataValidation>
    <dataValidation type="decimal" operator="greaterThan" allowBlank="1" showInputMessage="1" showErrorMessage="1" error="Zahl größer 0 erforderlich!" sqref="D7:D9" xr:uid="{70E80F92-DA11-4FDD-A4B5-A0F79BAD7DCF}">
      <formula1>0</formula1>
    </dataValidation>
  </dataValidations>
  <pageMargins left="0.70866141732283472" right="0.39370078740157483" top="0.59055118110236227" bottom="0.59055118110236227" header="0.31496062992125984" footer="0.31496062992125984"/>
  <pageSetup paperSize="9" orientation="portrait" r:id="rId1"/>
  <headerFooter>
    <oddFooter>&amp;L&amp;9&amp;F, &amp;A&amp;R&amp;9&amp;D</oddFooter>
  </headerFooter>
  <legacyDrawing r:id="rId2"/>
  <legacyDrawingHF r:id="rId3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00000000-0002-0000-0D00-000002000000}">
          <x14:formula1>
            <xm:f>Konstante!$C$70:$C$78</xm:f>
          </x14:formula1>
          <xm:sqref>G7:G9</xm:sqref>
        </x14:dataValidation>
        <x14:dataValidation type="list" allowBlank="1" showInputMessage="1" showErrorMessage="1" xr:uid="{00000000-0002-0000-0D00-000003000000}">
          <x14:formula1>
            <xm:f>Konstante!$AW$67:$AW$68</xm:f>
          </x14:formula1>
          <xm:sqref>D12</xm:sqref>
        </x14:dataValidation>
        <x14:dataValidation type="list" allowBlank="1" showInputMessage="1" showErrorMessage="1" xr:uid="{00000000-0002-0000-0D00-000004000000}">
          <x14:formula1>
            <xm:f>Konstante!$AN$67:$AN$70</xm:f>
          </x14:formula1>
          <xm:sqref>D13</xm:sqref>
        </x14:dataValidation>
        <x14:dataValidation type="list" allowBlank="1" showInputMessage="1" showErrorMessage="1" xr:uid="{00000000-0002-0000-0D00-000005000000}">
          <x14:formula1>
            <xm:f>Konstante!$AH$68:$AH$72</xm:f>
          </x14:formula1>
          <xm:sqref>D5</xm:sqref>
        </x14:dataValidation>
      </x14:dataValidations>
    </ext>
  </extLst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6"/>
  <dimension ref="A1:R70"/>
  <sheetViews>
    <sheetView zoomScaleNormal="100" zoomScaleSheetLayoutView="100" workbookViewId="0">
      <selection activeCell="D7" sqref="D7"/>
    </sheetView>
  </sheetViews>
  <sheetFormatPr baseColWidth="10" defaultRowHeight="14.5" x14ac:dyDescent="0.35"/>
  <cols>
    <col min="1" max="1" width="4" customWidth="1"/>
    <col min="2" max="2" width="6.7265625" customWidth="1"/>
    <col min="3" max="8" width="12.7265625" customWidth="1"/>
    <col min="9" max="9" width="5.7265625" customWidth="1"/>
    <col min="10" max="10" width="8.7265625" style="18" customWidth="1"/>
    <col min="11" max="11" width="11.453125" style="92"/>
    <col min="12" max="13" width="11.453125" style="93"/>
    <col min="14" max="18" width="11.453125" style="94"/>
  </cols>
  <sheetData>
    <row r="1" spans="1:18" ht="17.25" customHeight="1" x14ac:dyDescent="0.35">
      <c r="A1" s="833" t="s">
        <v>35</v>
      </c>
      <c r="B1" s="45"/>
      <c r="C1" s="45"/>
      <c r="D1" s="45"/>
      <c r="E1" s="45"/>
      <c r="F1" s="45"/>
      <c r="G1" s="45"/>
      <c r="H1" s="45"/>
      <c r="I1" s="45"/>
      <c r="K1" s="93" t="s">
        <v>699</v>
      </c>
      <c r="N1" s="94">
        <f ca="1">CELL("ZEILE",B27)</f>
        <v>27</v>
      </c>
    </row>
    <row r="2" spans="1:18" ht="22.5" customHeight="1" x14ac:dyDescent="0.35">
      <c r="A2" s="833"/>
      <c r="B2" s="46"/>
      <c r="C2" s="47" t="s">
        <v>36</v>
      </c>
      <c r="D2" s="848" t="s">
        <v>1136</v>
      </c>
      <c r="E2" s="849"/>
      <c r="F2" s="849"/>
      <c r="G2" s="849"/>
      <c r="H2" s="850"/>
      <c r="I2" s="45"/>
      <c r="K2" s="175" t="s">
        <v>700</v>
      </c>
      <c r="L2" s="155"/>
      <c r="M2" s="155"/>
      <c r="N2" s="175">
        <f ca="1">CELL("ZEILE",G54)</f>
        <v>54</v>
      </c>
      <c r="O2" s="95"/>
      <c r="P2" s="95"/>
    </row>
    <row r="3" spans="1:18" ht="22.5" customHeight="1" x14ac:dyDescent="0.35">
      <c r="A3" s="833"/>
      <c r="B3" s="46"/>
      <c r="C3" s="61"/>
      <c r="D3" s="909" t="s">
        <v>170</v>
      </c>
      <c r="E3" s="910"/>
      <c r="F3" s="910"/>
      <c r="G3" s="910"/>
      <c r="H3" s="911"/>
      <c r="I3" s="45"/>
      <c r="K3" s="175" t="s">
        <v>701</v>
      </c>
      <c r="L3" s="155"/>
      <c r="M3" s="155"/>
      <c r="N3" s="175">
        <f>F19</f>
        <v>0</v>
      </c>
      <c r="O3" s="95"/>
      <c r="P3" s="95"/>
    </row>
    <row r="4" spans="1:18" ht="17.25" customHeight="1" x14ac:dyDescent="0.35">
      <c r="A4" s="833"/>
      <c r="B4" s="46"/>
      <c r="C4" s="63"/>
      <c r="D4" s="14"/>
      <c r="E4" s="14"/>
      <c r="F4" s="14"/>
      <c r="G4" s="14"/>
      <c r="H4" s="64"/>
      <c r="I4" s="45"/>
      <c r="K4" s="95"/>
      <c r="L4" s="144"/>
      <c r="M4" s="144"/>
      <c r="N4" s="95"/>
      <c r="O4" s="95"/>
      <c r="P4" s="95"/>
      <c r="Q4" s="95"/>
    </row>
    <row r="5" spans="1:18" ht="17.25" customHeight="1" x14ac:dyDescent="0.35">
      <c r="A5" s="833"/>
      <c r="B5" s="46"/>
      <c r="C5" s="68" t="s">
        <v>169</v>
      </c>
      <c r="D5" s="129" t="s">
        <v>9</v>
      </c>
      <c r="E5" s="13"/>
      <c r="F5" s="13"/>
      <c r="G5" s="13"/>
      <c r="H5" s="138"/>
      <c r="I5" s="45"/>
      <c r="K5" s="95"/>
      <c r="L5" s="144"/>
      <c r="M5" s="144"/>
      <c r="N5" s="95"/>
      <c r="O5" s="95"/>
      <c r="P5" s="95"/>
    </row>
    <row r="6" spans="1:18" ht="17.25" customHeight="1" x14ac:dyDescent="0.35">
      <c r="A6" s="833"/>
      <c r="B6" s="46"/>
      <c r="C6" s="137"/>
      <c r="D6" s="13"/>
      <c r="E6" s="10"/>
      <c r="F6" s="13"/>
      <c r="G6" s="13"/>
      <c r="H6" s="138"/>
      <c r="I6" s="45"/>
      <c r="K6" s="94"/>
      <c r="L6" s="93" t="s">
        <v>120</v>
      </c>
      <c r="M6" s="93" t="s">
        <v>141</v>
      </c>
    </row>
    <row r="7" spans="1:18" ht="19.5" customHeight="1" x14ac:dyDescent="0.35">
      <c r="A7" s="833"/>
      <c r="B7" s="46"/>
      <c r="C7" s="68" t="s">
        <v>111</v>
      </c>
      <c r="D7" s="131"/>
      <c r="E7" s="13"/>
      <c r="F7" s="70" t="s">
        <v>113</v>
      </c>
      <c r="G7" s="71" t="s">
        <v>20</v>
      </c>
      <c r="H7" s="138"/>
      <c r="I7" s="45"/>
      <c r="K7" s="94"/>
      <c r="L7" s="93">
        <f ca="1">VLOOKUP($G7,INDIRECT(VLOOKUP($D$5,Konstante!$AH$68:$AL$72,2,FALSE)),VLOOKUP($D7,Konstante!$AH$75:$AI$78,2,TRUE))</f>
        <v>-12.26</v>
      </c>
      <c r="M7" s="93">
        <f ca="1">VLOOKUP($G7,INDIRECT(VLOOKUP($D$5,Konstante!$AH$68:$AL$72,4,FALSE)),VLOOKUP($D7,Konstante!$AH$75:$AI$78,2,TRUE))</f>
        <v>27.06</v>
      </c>
      <c r="N7" s="94">
        <f ca="1">D7*(L7*D7+M7)*$K$13*IS*0.4</f>
        <v>0</v>
      </c>
    </row>
    <row r="8" spans="1:18" s="2" customFormat="1" ht="20.149999999999999" customHeight="1" x14ac:dyDescent="0.35">
      <c r="A8" s="833"/>
      <c r="B8" s="46"/>
      <c r="C8" s="68" t="s">
        <v>111</v>
      </c>
      <c r="D8" s="131"/>
      <c r="E8" s="13"/>
      <c r="F8" s="70" t="s">
        <v>113</v>
      </c>
      <c r="G8" s="71" t="s">
        <v>20</v>
      </c>
      <c r="H8" s="138"/>
      <c r="I8" s="47"/>
      <c r="J8" s="19"/>
      <c r="K8" s="98"/>
      <c r="L8" s="93">
        <f ca="1">VLOOKUP($G8,INDIRECT(VLOOKUP($D$5,Konstante!$AH$68:$AL$72,2,FALSE)),VLOOKUP($D8,Konstante!$AH$75:$AI$78,2,TRUE))</f>
        <v>-12.26</v>
      </c>
      <c r="M8" s="93">
        <f ca="1">VLOOKUP($G8,INDIRECT(VLOOKUP($D$5,Konstante!$AH$68:$AL$72,4,FALSE)),VLOOKUP($D8,Konstante!$AH$75:$AI$78,2,TRUE))</f>
        <v>27.06</v>
      </c>
      <c r="N8" s="94">
        <f ca="1">D8*(L8*D8+M8)*$K$13*IS*0.4</f>
        <v>0</v>
      </c>
      <c r="O8" s="98"/>
      <c r="P8" s="98"/>
      <c r="Q8" s="98"/>
      <c r="R8" s="98"/>
    </row>
    <row r="9" spans="1:18" s="2" customFormat="1" ht="20.149999999999999" customHeight="1" x14ac:dyDescent="0.35">
      <c r="A9" s="833"/>
      <c r="B9" s="46"/>
      <c r="C9" s="68" t="s">
        <v>111</v>
      </c>
      <c r="D9" s="463"/>
      <c r="E9" s="13"/>
      <c r="F9" s="70" t="s">
        <v>113</v>
      </c>
      <c r="G9" s="71" t="s">
        <v>20</v>
      </c>
      <c r="H9" s="138"/>
      <c r="I9" s="46"/>
      <c r="J9" s="19"/>
      <c r="K9" s="98"/>
      <c r="L9" s="93">
        <f ca="1">VLOOKUP($G9,INDIRECT(VLOOKUP($D$5,Konstante!$AH$68:$AL$72,2,FALSE)),VLOOKUP($D9,Konstante!$AH$75:$AI$78,2,TRUE))</f>
        <v>-12.26</v>
      </c>
      <c r="M9" s="93">
        <f ca="1">VLOOKUP($G9,INDIRECT(VLOOKUP($D$5,Konstante!$AH$68:$AL$72,4,FALSE)),VLOOKUP($D9,Konstante!$AH$75:$AI$78,2,TRUE))</f>
        <v>27.06</v>
      </c>
      <c r="N9" s="94">
        <f ca="1">D9*(L9*D9+M9)*$K$13*IS*0.4</f>
        <v>0</v>
      </c>
      <c r="O9" s="98"/>
      <c r="P9" s="98"/>
      <c r="Q9" s="98"/>
      <c r="R9" s="98"/>
    </row>
    <row r="10" spans="1:18" s="2" customFormat="1" ht="20.149999999999999" customHeight="1" x14ac:dyDescent="0.35">
      <c r="A10" s="833"/>
      <c r="B10" s="46"/>
      <c r="C10" s="68" t="s">
        <v>112</v>
      </c>
      <c r="D10" s="143">
        <f>SUM(D7:D9)</f>
        <v>0</v>
      </c>
      <c r="E10" s="14" t="s">
        <v>158</v>
      </c>
      <c r="F10" s="13"/>
      <c r="G10" s="13"/>
      <c r="H10" s="138"/>
      <c r="I10" s="46"/>
      <c r="J10" s="19"/>
      <c r="K10" s="98"/>
      <c r="L10" s="93"/>
      <c r="M10" s="93"/>
      <c r="N10" s="132">
        <f ca="1">SUM(N7:N9)</f>
        <v>0</v>
      </c>
      <c r="O10" s="98"/>
      <c r="P10" s="98"/>
      <c r="Q10" s="98"/>
      <c r="R10" s="98"/>
    </row>
    <row r="11" spans="1:18" s="2" customFormat="1" ht="20.149999999999999" customHeight="1" x14ac:dyDescent="0.35">
      <c r="A11" s="833"/>
      <c r="B11" s="46"/>
      <c r="C11" s="7"/>
      <c r="D11" s="13"/>
      <c r="E11" s="13"/>
      <c r="F11" s="13"/>
      <c r="G11" s="13"/>
      <c r="H11" s="138"/>
      <c r="I11" s="46"/>
      <c r="J11" s="19"/>
      <c r="K11" s="98"/>
      <c r="L11" s="93"/>
      <c r="M11" s="93"/>
      <c r="N11" s="98"/>
      <c r="O11" s="98"/>
      <c r="P11" s="98"/>
      <c r="Q11" s="98"/>
      <c r="R11" s="98"/>
    </row>
    <row r="12" spans="1:18" s="2" customFormat="1" ht="20.149999999999999" customHeight="1" x14ac:dyDescent="0.35">
      <c r="A12" s="833"/>
      <c r="B12" s="46"/>
      <c r="C12" s="68"/>
      <c r="D12" s="13"/>
      <c r="E12" s="14"/>
      <c r="F12" s="13"/>
      <c r="G12" s="13"/>
      <c r="H12" s="138"/>
      <c r="I12" s="47"/>
      <c r="J12" s="19"/>
      <c r="K12" s="98"/>
      <c r="L12" s="93"/>
      <c r="M12" s="93"/>
      <c r="N12" s="98"/>
      <c r="O12" s="98"/>
      <c r="P12" s="98"/>
      <c r="Q12" s="98"/>
      <c r="R12" s="98"/>
    </row>
    <row r="13" spans="1:18" s="2" customFormat="1" ht="20.149999999999999" customHeight="1" x14ac:dyDescent="0.35">
      <c r="A13" s="833"/>
      <c r="B13" s="45"/>
      <c r="C13" s="68" t="s">
        <v>110</v>
      </c>
      <c r="D13" s="908" t="s">
        <v>1137</v>
      </c>
      <c r="E13" s="908"/>
      <c r="F13" s="908"/>
      <c r="G13" s="13"/>
      <c r="H13" s="138"/>
      <c r="I13" s="47"/>
      <c r="J13" s="19"/>
      <c r="K13" s="98">
        <f>VLOOKUP(D13,Konstante!AN67:AO70,2,FALSE)</f>
        <v>1</v>
      </c>
      <c r="L13" s="97"/>
      <c r="M13" s="100"/>
      <c r="N13" s="146"/>
      <c r="O13" s="98"/>
      <c r="P13" s="98"/>
      <c r="Q13" s="98"/>
      <c r="R13" s="98"/>
    </row>
    <row r="14" spans="1:18" s="2" customFormat="1" ht="20.149999999999999" customHeight="1" x14ac:dyDescent="0.35">
      <c r="A14" s="833"/>
      <c r="B14" s="46"/>
      <c r="C14" s="137"/>
      <c r="D14" s="13"/>
      <c r="E14" s="13"/>
      <c r="F14" s="13"/>
      <c r="G14" s="13"/>
      <c r="H14" s="138"/>
      <c r="I14" s="47"/>
      <c r="J14" s="19"/>
      <c r="K14" s="98"/>
      <c r="L14" s="97"/>
      <c r="M14" s="100"/>
      <c r="N14" s="146"/>
      <c r="O14" s="98"/>
      <c r="P14" s="98"/>
      <c r="Q14" s="98"/>
      <c r="R14" s="98"/>
    </row>
    <row r="15" spans="1:18" s="2" customFormat="1" ht="20.149999999999999" customHeight="1" x14ac:dyDescent="0.25">
      <c r="A15" s="833"/>
      <c r="B15" s="46"/>
      <c r="C15" s="47"/>
      <c r="D15" s="47"/>
      <c r="E15" s="53"/>
      <c r="F15" s="47"/>
      <c r="G15" s="592" t="s">
        <v>633</v>
      </c>
      <c r="H15" s="46"/>
      <c r="I15" s="47"/>
      <c r="J15" s="19"/>
      <c r="K15" s="98"/>
      <c r="L15" s="97"/>
      <c r="M15" s="100"/>
      <c r="N15" s="98"/>
      <c r="O15" s="98"/>
      <c r="P15" s="98"/>
      <c r="Q15" s="98"/>
      <c r="R15" s="98"/>
    </row>
    <row r="16" spans="1:18" s="2" customFormat="1" ht="20.149999999999999" customHeight="1" x14ac:dyDescent="0.35">
      <c r="A16" s="833"/>
      <c r="B16" s="46"/>
      <c r="C16" s="47" t="s">
        <v>34</v>
      </c>
      <c r="D16" s="47"/>
      <c r="E16" s="320"/>
      <c r="F16" s="47"/>
      <c r="G16" s="868"/>
      <c r="H16" s="869"/>
      <c r="I16" s="47"/>
      <c r="J16" s="19"/>
      <c r="K16" s="98"/>
      <c r="L16" s="100"/>
      <c r="M16" s="100"/>
      <c r="N16" s="98"/>
      <c r="O16" s="98"/>
      <c r="P16" s="98"/>
      <c r="Q16" s="98"/>
      <c r="R16" s="98"/>
    </row>
    <row r="17" spans="1:18" s="2" customFormat="1" ht="20.149999999999999" customHeight="1" x14ac:dyDescent="0.35">
      <c r="A17" s="833"/>
      <c r="B17" s="46"/>
      <c r="C17" s="47" t="s">
        <v>1</v>
      </c>
      <c r="D17" s="47"/>
      <c r="E17" s="321"/>
      <c r="F17" s="47"/>
      <c r="G17" s="867"/>
      <c r="H17" s="867"/>
      <c r="I17" s="47"/>
      <c r="J17" s="19"/>
      <c r="K17" s="98"/>
      <c r="L17" s="100"/>
      <c r="M17" s="100"/>
      <c r="N17" s="98"/>
      <c r="O17" s="98"/>
      <c r="P17" s="98"/>
      <c r="Q17" s="98"/>
      <c r="R17" s="98"/>
    </row>
    <row r="18" spans="1:18" s="2" customFormat="1" ht="20.149999999999999" customHeight="1" x14ac:dyDescent="0.35">
      <c r="A18" s="833"/>
      <c r="B18" s="46"/>
      <c r="C18" s="46"/>
      <c r="D18" s="139"/>
      <c r="E18" s="139"/>
      <c r="F18" s="139"/>
      <c r="G18" s="139"/>
      <c r="H18" s="140"/>
      <c r="I18" s="45"/>
      <c r="J18" s="19"/>
      <c r="K18" s="96"/>
      <c r="L18" s="100"/>
      <c r="M18" s="100"/>
      <c r="N18" s="99"/>
      <c r="O18" s="98"/>
      <c r="P18" s="98"/>
      <c r="Q18" s="98"/>
      <c r="R18" s="98"/>
    </row>
    <row r="19" spans="1:18" ht="19.5" customHeight="1" x14ac:dyDescent="0.5">
      <c r="A19" s="833"/>
      <c r="B19" s="45"/>
      <c r="C19" s="54" t="str">
        <f>IF(F19=0, "UNVOLLSTÄNDIG AUSGEFÜLLT!","")</f>
        <v>UNVOLLSTÄNDIG AUSGEFÜLLT!</v>
      </c>
      <c r="D19" s="45"/>
      <c r="E19" s="45"/>
      <c r="F19" s="451">
        <f>IF(AND(D7&lt;0.01,D8&lt;0.01,D9&lt;0.01),0,1)</f>
        <v>0</v>
      </c>
      <c r="G19" s="852" t="str">
        <f>IF(F19&lt;&gt;0, G54,"")</f>
        <v/>
      </c>
      <c r="H19" s="852"/>
      <c r="I19" s="45"/>
      <c r="M19" s="92"/>
    </row>
    <row r="20" spans="1:18" ht="19.5" customHeight="1" x14ac:dyDescent="0.35">
      <c r="A20" s="833"/>
      <c r="B20" s="45"/>
      <c r="C20" s="45"/>
      <c r="D20" s="45"/>
      <c r="E20" s="45"/>
      <c r="F20" s="45"/>
      <c r="G20" s="45"/>
      <c r="H20" s="45"/>
      <c r="I20" s="45"/>
    </row>
    <row r="21" spans="1:18" ht="15.5" x14ac:dyDescent="0.35">
      <c r="A21" s="830" t="s">
        <v>66</v>
      </c>
      <c r="I21" s="577" t="str">
        <f ca="1">IF(VLOOKUP(B27,CHOOSE({5,4,3,2,1},Gesamt!L32:L65,Gesamt!M32:M65,Gesamt!N32:N65,Gesamt!O32:O65,Gesamt!P32:P65,),4,0)&gt;0,CONCATENATE("Pos. ",VLOOKUP(B27,CHOOSE({5,4,3,2,1},Gesamt!L32:L65,Gesamt!M32:M65,Gesamt!N32:N65,Gesamt!O32:O65,Gesamt!P32:P65,),VLOOKUP(Gesamt!C19,Gesamt!L5:N7,3,0),0)),"")</f>
        <v/>
      </c>
    </row>
    <row r="22" spans="1:18" x14ac:dyDescent="0.35">
      <c r="A22" s="830"/>
      <c r="B22" s="831" t="str">
        <f>CONCATENATE(Gesamt!C2, ": ", Gesamt!E2)</f>
        <v xml:space="preserve">Projekt: </v>
      </c>
      <c r="C22" s="831"/>
      <c r="D22" s="831"/>
      <c r="E22" s="831"/>
      <c r="F22" s="831"/>
      <c r="G22" s="831"/>
      <c r="H22" s="831"/>
      <c r="I22" s="831"/>
    </row>
    <row r="23" spans="1:18" x14ac:dyDescent="0.35">
      <c r="A23" s="830"/>
      <c r="B23" s="832" t="str">
        <f>CONCATENATE(Gesamt!C4, ": ", Gesamt!E4, IF(Gesamt!E5&lt;&gt;""," - ",""), IF(Gesamt!E5&lt;&gt;"",Gesamt!E5,""), IF(Gesamt!E6&lt;&gt;""," - GZ. ",""), IF(Gesamt!E6&lt;&gt;"",Gesamt!E6,""),)</f>
        <v xml:space="preserve">Auftraggeber: </v>
      </c>
      <c r="C23" s="832"/>
      <c r="D23" s="832"/>
      <c r="E23" s="832"/>
      <c r="F23" s="832"/>
      <c r="G23" s="832"/>
      <c r="H23" s="832"/>
      <c r="I23" s="832"/>
    </row>
    <row r="24" spans="1:18" x14ac:dyDescent="0.35">
      <c r="A24" s="830"/>
      <c r="B24" s="832" t="str">
        <f>CONCATENATE(Gesamt!C9, ": ",Gesamt!E9,  IF(Gesamt!C10&lt;&gt;""," - ",""), IF(Gesamt!C10&lt;&gt;"",Gesamt!E10,""), IF(Gesamt!C11&lt;&gt;""," - GZ. ",""), IF(Gesamt!C11&lt;&gt;"",Gesamt!E11,""), )</f>
        <v xml:space="preserve">Bieter:  -  - GZ. </v>
      </c>
      <c r="C24" s="832"/>
      <c r="D24" s="832"/>
      <c r="E24" s="832"/>
      <c r="F24" s="832"/>
      <c r="G24" s="832"/>
      <c r="H24" s="832"/>
      <c r="I24" s="832"/>
    </row>
    <row r="25" spans="1:18" x14ac:dyDescent="0.35">
      <c r="A25" s="830"/>
      <c r="B25" s="832" t="s">
        <v>41</v>
      </c>
      <c r="C25" s="832"/>
      <c r="D25" s="832"/>
      <c r="E25" s="832"/>
      <c r="F25" s="832"/>
      <c r="G25" s="832"/>
      <c r="H25" s="832"/>
      <c r="I25" s="832"/>
    </row>
    <row r="26" spans="1:18" x14ac:dyDescent="0.35">
      <c r="A26" s="830"/>
    </row>
    <row r="27" spans="1:18" s="9" customFormat="1" ht="23.25" customHeight="1" x14ac:dyDescent="0.35">
      <c r="A27" s="830"/>
      <c r="B27" s="843" t="str">
        <f>CONCATENATE(D2," (", D3,")")</f>
        <v>Umbildung einer Geländeaufnahme (analog auf digital)</v>
      </c>
      <c r="C27" s="843"/>
      <c r="D27" s="843"/>
      <c r="E27" s="843"/>
      <c r="F27" s="843"/>
      <c r="G27" s="843"/>
      <c r="H27" s="843"/>
      <c r="I27" s="843"/>
      <c r="J27" s="20"/>
      <c r="K27" s="101"/>
      <c r="L27" s="102"/>
      <c r="M27" s="102"/>
      <c r="N27" s="103"/>
      <c r="O27" s="103"/>
      <c r="P27" s="103"/>
      <c r="Q27" s="103"/>
      <c r="R27" s="103"/>
    </row>
    <row r="28" spans="1:18" x14ac:dyDescent="0.35">
      <c r="A28" s="830"/>
    </row>
    <row r="29" spans="1:18" x14ac:dyDescent="0.35">
      <c r="A29" s="830"/>
      <c r="C29" t="s">
        <v>1038</v>
      </c>
    </row>
    <row r="30" spans="1:18" x14ac:dyDescent="0.35">
      <c r="A30" s="830"/>
    </row>
    <row r="31" spans="1:18" x14ac:dyDescent="0.35">
      <c r="A31" s="830"/>
      <c r="C31" t="s">
        <v>959</v>
      </c>
      <c r="E31" s="243">
        <f>IS</f>
        <v>0</v>
      </c>
    </row>
    <row r="32" spans="1:18" x14ac:dyDescent="0.35">
      <c r="A32" s="830"/>
      <c r="E32" s="243"/>
    </row>
    <row r="33" spans="1:18" x14ac:dyDescent="0.35">
      <c r="A33" s="830"/>
      <c r="C33" s="249" t="s">
        <v>744</v>
      </c>
      <c r="E33" s="243"/>
    </row>
    <row r="34" spans="1:18" x14ac:dyDescent="0.35">
      <c r="A34" s="830"/>
    </row>
    <row r="35" spans="1:18" x14ac:dyDescent="0.35">
      <c r="A35" s="830"/>
      <c r="C35" s="1" t="s">
        <v>169</v>
      </c>
      <c r="E35" t="str">
        <f>D5</f>
        <v>1:500</v>
      </c>
    </row>
    <row r="36" spans="1:18" x14ac:dyDescent="0.35">
      <c r="A36" s="830"/>
      <c r="C36" s="1" t="s">
        <v>110</v>
      </c>
      <c r="E36" t="str">
        <f>D13</f>
        <v>wiederholte Datenlieferung</v>
      </c>
    </row>
    <row r="37" spans="1:18" x14ac:dyDescent="0.35">
      <c r="A37" s="830"/>
      <c r="C37" s="30"/>
    </row>
    <row r="38" spans="1:18" x14ac:dyDescent="0.35">
      <c r="A38" s="830"/>
      <c r="E38" s="134"/>
    </row>
    <row r="39" spans="1:18" x14ac:dyDescent="0.35">
      <c r="A39" s="830"/>
      <c r="C39" s="2" t="s">
        <v>147</v>
      </c>
      <c r="D39" s="2"/>
      <c r="E39" s="57" t="s">
        <v>148</v>
      </c>
    </row>
    <row r="40" spans="1:18" x14ac:dyDescent="0.35">
      <c r="A40" s="830"/>
      <c r="C40" s="28" t="str">
        <f>IF(D7&gt;0,"A1=","")</f>
        <v/>
      </c>
      <c r="D40" s="121" t="str">
        <f>IF(D7&gt;0,D7,"")</f>
        <v/>
      </c>
      <c r="E40" s="122" t="str">
        <f>IF(D7&gt;0,G7,"")</f>
        <v/>
      </c>
    </row>
    <row r="41" spans="1:18" x14ac:dyDescent="0.35">
      <c r="A41" s="830"/>
      <c r="C41" s="28" t="str">
        <f>IF(D8&gt;0,"A2=","")</f>
        <v/>
      </c>
      <c r="D41" s="121" t="str">
        <f>IF(D8&gt;0,D8,"")</f>
        <v/>
      </c>
      <c r="E41" s="122" t="str">
        <f>IF(D8&gt;0,G8,"")</f>
        <v/>
      </c>
    </row>
    <row r="42" spans="1:18" x14ac:dyDescent="0.35">
      <c r="A42" s="830"/>
      <c r="C42" s="147" t="str">
        <f>IF(D9&gt;0,"A3=","")</f>
        <v/>
      </c>
      <c r="D42" s="148" t="str">
        <f>IF(D9&gt;0,D9,"")</f>
        <v/>
      </c>
      <c r="E42" s="149" t="str">
        <f>IF(D9&gt;0,G9,"")</f>
        <v/>
      </c>
      <c r="F42" s="150"/>
      <c r="G42" s="150"/>
      <c r="H42" s="150"/>
    </row>
    <row r="43" spans="1:18" x14ac:dyDescent="0.35">
      <c r="A43" s="830"/>
      <c r="C43" s="28" t="s">
        <v>146</v>
      </c>
      <c r="D43" s="121">
        <f>SUM(D40:D42)</f>
        <v>0</v>
      </c>
      <c r="E43" s="28"/>
      <c r="F43" s="123"/>
      <c r="G43" s="28"/>
      <c r="H43" s="1"/>
    </row>
    <row r="44" spans="1:18" x14ac:dyDescent="0.35">
      <c r="A44" s="830"/>
      <c r="C44" s="28"/>
      <c r="D44" s="121"/>
      <c r="E44" s="122"/>
      <c r="F44" s="123"/>
      <c r="G44" s="28"/>
      <c r="H44" s="1"/>
    </row>
    <row r="45" spans="1:18" x14ac:dyDescent="0.35">
      <c r="A45" s="830"/>
      <c r="C45" s="28"/>
      <c r="D45" s="121"/>
      <c r="E45" s="122"/>
      <c r="F45" s="123"/>
      <c r="G45" s="28"/>
      <c r="H45" s="1"/>
      <c r="K45" s="119"/>
    </row>
    <row r="46" spans="1:18" x14ac:dyDescent="0.35">
      <c r="A46" s="830"/>
      <c r="C46" s="28"/>
      <c r="D46" s="121"/>
      <c r="E46" s="122"/>
      <c r="F46" s="123"/>
      <c r="G46" s="28"/>
      <c r="H46" s="1"/>
      <c r="K46" s="119"/>
    </row>
    <row r="47" spans="1:18" x14ac:dyDescent="0.35">
      <c r="A47" s="830"/>
      <c r="C47" t="s">
        <v>60</v>
      </c>
      <c r="F47" s="118">
        <f ca="1">IF(N16&lt;&gt;9,ROUND(N10,2),0)</f>
        <v>0</v>
      </c>
      <c r="K47" s="119"/>
    </row>
    <row r="48" spans="1:18" s="3" customFormat="1" x14ac:dyDescent="0.35">
      <c r="A48" s="830"/>
      <c r="B48"/>
      <c r="C48"/>
      <c r="D48"/>
      <c r="E48" s="127"/>
      <c r="F48" s="128"/>
      <c r="G48"/>
      <c r="H48"/>
      <c r="I48"/>
      <c r="J48" s="23"/>
      <c r="K48" s="120"/>
      <c r="L48" s="104"/>
      <c r="M48" s="104"/>
      <c r="N48" s="105"/>
      <c r="O48" s="105"/>
      <c r="P48" s="105"/>
      <c r="Q48" s="105"/>
      <c r="R48" s="105"/>
    </row>
    <row r="49" spans="1:18" x14ac:dyDescent="0.35">
      <c r="A49" s="830"/>
      <c r="C49" t="str">
        <f>IF(D15&gt;0,"Nebenkosten:","")</f>
        <v/>
      </c>
      <c r="F49" s="118" t="str">
        <f>IF(N15&gt;0,ROUND(N15,2),"")</f>
        <v/>
      </c>
      <c r="K49" s="119"/>
    </row>
    <row r="50" spans="1:18" x14ac:dyDescent="0.35">
      <c r="A50" s="830"/>
      <c r="C50" t="str">
        <f>IF(AND(ZuAbschlag&lt;&gt;0,VSK&lt;&gt;0),"Zu-/Abschlag:","")</f>
        <v/>
      </c>
      <c r="E50" s="15" t="str">
        <f>IF(AND(ZuAbschlag&lt;&gt;0,VSK&lt;&gt;0),ZuAbschlag,"")</f>
        <v/>
      </c>
      <c r="F50" s="17" t="str">
        <f>IF(AND(ZuAbschlag&lt;&gt;0,VSK&lt;&gt;0),F47*E50,"")</f>
        <v/>
      </c>
      <c r="G50" s="1" t="str">
        <f>IF(AND(ZuAbschlag&lt;&gt;0,VSK&lt;&gt;0,G16&lt;&gt;""),G16,"")</f>
        <v/>
      </c>
      <c r="K50" s="119"/>
    </row>
    <row r="51" spans="1:18" x14ac:dyDescent="0.35">
      <c r="A51" s="830"/>
      <c r="B51" s="3"/>
      <c r="C51" t="str">
        <f>IF(AND(NK&lt;&gt;0,VSK&lt;&gt;0),"Nebenkosten:","")</f>
        <v/>
      </c>
      <c r="F51" s="17" t="str">
        <f>IF(AND(NK&lt;&gt;0,VSK&lt;&gt;0),NK,"")</f>
        <v/>
      </c>
      <c r="G51" s="1" t="str">
        <f>IF(AND(NK&lt;&gt;0,VSK&lt;&gt;0,G17&lt;&gt;""),G17,"")</f>
        <v/>
      </c>
      <c r="I51" s="3"/>
    </row>
    <row r="52" spans="1:18" x14ac:dyDescent="0.35">
      <c r="A52" s="830"/>
      <c r="C52" s="78"/>
      <c r="D52" s="78"/>
      <c r="E52" s="78"/>
      <c r="F52" s="151"/>
      <c r="G52" s="78"/>
      <c r="H52" s="78"/>
    </row>
    <row r="53" spans="1:18" x14ac:dyDescent="0.35">
      <c r="A53" s="830"/>
      <c r="C53" t="str">
        <f>IF(E18&gt;0,"Nebenkosten:","")</f>
        <v/>
      </c>
      <c r="F53" s="118" t="str">
        <f>IF(E18&gt;0,ROUND(E18,2),"")</f>
        <v/>
      </c>
    </row>
    <row r="54" spans="1:18" ht="15.5" x14ac:dyDescent="0.35">
      <c r="A54" s="830"/>
      <c r="C54" s="16" t="s">
        <v>65</v>
      </c>
      <c r="D54" s="110"/>
      <c r="E54" s="110"/>
      <c r="F54" s="113"/>
      <c r="G54" s="842">
        <f>IF(F19=1,SUM(F45:F52),0)</f>
        <v>0</v>
      </c>
      <c r="H54" s="842"/>
    </row>
    <row r="55" spans="1:18" x14ac:dyDescent="0.35">
      <c r="A55" s="830"/>
      <c r="C55" s="30" t="str">
        <f>IF(O15&lt;&gt;0,"ohne Höhenschichtenlinien (-10%):","")</f>
        <v/>
      </c>
      <c r="E55" s="28"/>
      <c r="F55" s="118" t="str">
        <f>IF(O15&lt;&gt;0,ROUND(O15,2),"")</f>
        <v/>
      </c>
    </row>
    <row r="56" spans="1:18" s="11" customFormat="1" ht="15.5" x14ac:dyDescent="0.35">
      <c r="A56" s="830"/>
      <c r="B56"/>
      <c r="C56" s="30" t="str">
        <f>IF(O16&lt;&gt;0,"Höhenkoten nicht freistellen (-5%):","")</f>
        <v/>
      </c>
      <c r="D56"/>
      <c r="E56" s="28"/>
      <c r="F56" s="118" t="str">
        <f>IF(O16&lt;&gt;0,ROUND(O16,2),"")</f>
        <v/>
      </c>
      <c r="G56"/>
      <c r="H56"/>
      <c r="I56"/>
      <c r="J56" s="114"/>
      <c r="K56" s="115"/>
      <c r="L56" s="116"/>
      <c r="M56" s="116"/>
      <c r="N56" s="117"/>
      <c r="O56" s="117"/>
      <c r="P56" s="117"/>
      <c r="Q56" s="117"/>
      <c r="R56" s="117"/>
    </row>
    <row r="57" spans="1:18" x14ac:dyDescent="0.35">
      <c r="A57" s="830"/>
    </row>
    <row r="58" spans="1:18" ht="15.5" x14ac:dyDescent="0.35">
      <c r="A58" s="830"/>
      <c r="B58" s="11"/>
      <c r="C58" s="11"/>
      <c r="D58" s="110"/>
      <c r="E58" s="110"/>
      <c r="F58" s="113"/>
      <c r="G58" s="603"/>
      <c r="H58" s="603"/>
      <c r="I58" s="11"/>
    </row>
    <row r="59" spans="1:18" x14ac:dyDescent="0.35">
      <c r="A59" s="830"/>
      <c r="F59" s="28"/>
    </row>
    <row r="60" spans="1:18" x14ac:dyDescent="0.35">
      <c r="A60" s="830"/>
      <c r="E60" s="15"/>
      <c r="F60" s="17"/>
      <c r="G60" s="1"/>
    </row>
    <row r="61" spans="1:18" x14ac:dyDescent="0.35">
      <c r="A61" s="830"/>
      <c r="F61" s="28"/>
      <c r="G61" s="1"/>
    </row>
    <row r="62" spans="1:18" s="16" customFormat="1" ht="15.5" x14ac:dyDescent="0.35">
      <c r="A62" s="830"/>
      <c r="B62"/>
      <c r="C62"/>
      <c r="D62"/>
      <c r="E62"/>
      <c r="F62" s="17"/>
      <c r="G62" s="1"/>
      <c r="H62"/>
      <c r="I62"/>
      <c r="J62" s="21"/>
      <c r="K62" s="106"/>
      <c r="L62" s="107"/>
      <c r="M62" s="107"/>
      <c r="N62" s="108"/>
      <c r="O62" s="108"/>
      <c r="P62" s="108"/>
      <c r="Q62" s="108"/>
      <c r="R62" s="108"/>
    </row>
    <row r="63" spans="1:18" x14ac:dyDescent="0.35">
      <c r="A63" s="830"/>
    </row>
    <row r="64" spans="1:18" ht="15.5" x14ac:dyDescent="0.35">
      <c r="A64" s="830"/>
      <c r="B64" s="16"/>
      <c r="I64" s="16"/>
    </row>
    <row r="65" spans="1:8" x14ac:dyDescent="0.35">
      <c r="A65" s="830"/>
      <c r="C65" s="111"/>
      <c r="D65" s="111"/>
      <c r="E65" s="111"/>
      <c r="F65" s="111"/>
      <c r="G65" s="111"/>
      <c r="H65" s="112"/>
    </row>
    <row r="66" spans="1:8" x14ac:dyDescent="0.35">
      <c r="A66" s="830"/>
    </row>
    <row r="67" spans="1:8" x14ac:dyDescent="0.35">
      <c r="A67" s="830"/>
    </row>
    <row r="68" spans="1:8" x14ac:dyDescent="0.35">
      <c r="A68" s="830"/>
    </row>
    <row r="69" spans="1:8" x14ac:dyDescent="0.35">
      <c r="A69" s="830"/>
    </row>
    <row r="70" spans="1:8" x14ac:dyDescent="0.35">
      <c r="A70" s="830"/>
    </row>
  </sheetData>
  <mergeCells count="14">
    <mergeCell ref="B27:I27"/>
    <mergeCell ref="G54:H54"/>
    <mergeCell ref="A1:A20"/>
    <mergeCell ref="D2:H2"/>
    <mergeCell ref="D3:H3"/>
    <mergeCell ref="D13:F13"/>
    <mergeCell ref="G19:H19"/>
    <mergeCell ref="A21:A70"/>
    <mergeCell ref="B22:I22"/>
    <mergeCell ref="B23:I23"/>
    <mergeCell ref="B24:I24"/>
    <mergeCell ref="B25:I25"/>
    <mergeCell ref="G16:H16"/>
    <mergeCell ref="G17:H17"/>
  </mergeCells>
  <dataValidations count="3">
    <dataValidation type="decimal" operator="greaterThan" showInputMessage="1" showErrorMessage="1" sqref="E16" xr:uid="{00000000-0002-0000-0E00-000000000000}">
      <formula1>-1000</formula1>
    </dataValidation>
    <dataValidation type="decimal" operator="greaterThan" allowBlank="1" showInputMessage="1" showErrorMessage="1" sqref="E17" xr:uid="{00000000-0002-0000-0E00-000001000000}">
      <formula1>-1000000</formula1>
    </dataValidation>
    <dataValidation type="decimal" operator="greaterThan" allowBlank="1" showInputMessage="1" showErrorMessage="1" error="Zahl größer 0 erforderlich!" sqref="D7:D9" xr:uid="{F6B76609-039C-4D30-A3A6-43ADA12B594D}">
      <formula1>0</formula1>
    </dataValidation>
  </dataValidations>
  <pageMargins left="0.70866141732283472" right="0.39370078740157483" top="0.59055118110236227" bottom="0.59055118110236227" header="0.31496062992125984" footer="0.31496062992125984"/>
  <pageSetup paperSize="9" orientation="portrait" r:id="rId1"/>
  <headerFooter>
    <oddFooter>&amp;L&amp;9&amp;F, &amp;A&amp;R&amp;9&amp;D</oddFooter>
  </headerFooter>
  <legacyDrawing r:id="rId2"/>
  <legacyDrawingHF r:id="rId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E00-000002000000}">
          <x14:formula1>
            <xm:f>Konstante!$AH$68:$AH$72</xm:f>
          </x14:formula1>
          <xm:sqref>D5</xm:sqref>
        </x14:dataValidation>
        <x14:dataValidation type="list" allowBlank="1" showInputMessage="1" showErrorMessage="1" xr:uid="{00000000-0002-0000-0E00-000003000000}">
          <x14:formula1>
            <xm:f>Konstante!$AN$67:$AN$70</xm:f>
          </x14:formula1>
          <xm:sqref>D13</xm:sqref>
        </x14:dataValidation>
        <x14:dataValidation type="list" allowBlank="1" showInputMessage="1" showErrorMessage="1" xr:uid="{00000000-0002-0000-0E00-000004000000}">
          <x14:formula1>
            <xm:f>Konstante!$C$70:$C$78</xm:f>
          </x14:formula1>
          <xm:sqref>G7:G9</xm:sqref>
        </x14:dataValidation>
      </x14:dataValidations>
    </ext>
  </extLst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38C110-D715-4FE3-BF6A-2EDCAE0CC1EB}">
  <dimension ref="A1:X89"/>
  <sheetViews>
    <sheetView zoomScaleNormal="100" zoomScaleSheetLayoutView="100" workbookViewId="0">
      <selection activeCell="G5" sqref="G5"/>
    </sheetView>
  </sheetViews>
  <sheetFormatPr baseColWidth="10" defaultRowHeight="14.5" x14ac:dyDescent="0.35"/>
  <cols>
    <col min="1" max="1" width="4" customWidth="1"/>
    <col min="2" max="2" width="6.7265625" customWidth="1"/>
    <col min="3" max="8" width="12.7265625" customWidth="1"/>
    <col min="9" max="9" width="5.7265625" customWidth="1"/>
    <col min="10" max="10" width="8.7265625" style="18" customWidth="1"/>
    <col min="11" max="11" width="11.453125" style="92"/>
    <col min="12" max="13" width="11.453125" style="93"/>
    <col min="14" max="19" width="11.453125" style="94"/>
  </cols>
  <sheetData>
    <row r="1" spans="1:24" ht="17.25" customHeight="1" x14ac:dyDescent="0.35">
      <c r="A1" s="833" t="s">
        <v>35</v>
      </c>
      <c r="B1" s="45"/>
      <c r="C1" s="45"/>
      <c r="D1" s="45"/>
      <c r="E1" s="45"/>
      <c r="F1" s="45"/>
      <c r="G1" s="45"/>
      <c r="H1" s="45"/>
      <c r="I1" s="45"/>
      <c r="K1" s="93" t="s">
        <v>699</v>
      </c>
      <c r="N1" s="94">
        <f ca="1">CELL("ZEILE",B27)</f>
        <v>27</v>
      </c>
    </row>
    <row r="2" spans="1:24" ht="22.5" customHeight="1" x14ac:dyDescent="0.35">
      <c r="A2" s="833"/>
      <c r="B2" s="46"/>
      <c r="C2" s="47" t="s">
        <v>36</v>
      </c>
      <c r="D2" s="848" t="s">
        <v>94</v>
      </c>
      <c r="E2" s="849"/>
      <c r="F2" s="849"/>
      <c r="G2" s="849"/>
      <c r="H2" s="850"/>
      <c r="I2" s="45"/>
      <c r="K2" s="175" t="s">
        <v>700</v>
      </c>
      <c r="L2" s="155"/>
      <c r="M2" s="155"/>
      <c r="N2" s="175">
        <f ca="1">CELL("ZEILE",G57)</f>
        <v>57</v>
      </c>
      <c r="O2" s="95"/>
      <c r="P2" s="95"/>
      <c r="Q2" s="95"/>
    </row>
    <row r="3" spans="1:24" ht="22.5" customHeight="1" x14ac:dyDescent="0.35">
      <c r="A3" s="833"/>
      <c r="B3" s="46"/>
      <c r="C3" s="61"/>
      <c r="D3" s="912"/>
      <c r="E3" s="913"/>
      <c r="F3" s="913"/>
      <c r="G3" s="913"/>
      <c r="H3" s="914"/>
      <c r="I3" s="45"/>
      <c r="K3" s="175" t="s">
        <v>701</v>
      </c>
      <c r="L3" s="155"/>
      <c r="M3" s="155"/>
      <c r="N3" s="175">
        <f>F19</f>
        <v>0</v>
      </c>
      <c r="O3" s="95"/>
      <c r="P3" s="95"/>
      <c r="Q3" s="95"/>
    </row>
    <row r="4" spans="1:24" ht="17.25" customHeight="1" x14ac:dyDescent="0.35">
      <c r="A4" s="833"/>
      <c r="B4" s="46"/>
      <c r="C4" s="137"/>
      <c r="D4" s="14"/>
      <c r="E4" s="14"/>
      <c r="F4" s="14"/>
      <c r="G4" s="14"/>
      <c r="H4" s="14"/>
      <c r="I4" s="767"/>
      <c r="J4" s="94"/>
      <c r="K4" s="95"/>
      <c r="L4" s="144"/>
      <c r="M4" s="144"/>
      <c r="N4" s="95"/>
      <c r="O4" s="95"/>
      <c r="P4" s="95"/>
      <c r="Q4" s="95"/>
      <c r="R4" s="95"/>
      <c r="T4" s="769" t="s">
        <v>978</v>
      </c>
      <c r="U4" s="94"/>
      <c r="V4" s="94"/>
    </row>
    <row r="5" spans="1:24" ht="17.25" customHeight="1" x14ac:dyDescent="0.35">
      <c r="A5" s="833"/>
      <c r="B5" s="46"/>
      <c r="C5" s="63" t="s">
        <v>967</v>
      </c>
      <c r="D5" s="68"/>
      <c r="E5" s="14"/>
      <c r="F5" s="14"/>
      <c r="G5" s="714"/>
      <c r="H5" s="14" t="s">
        <v>969</v>
      </c>
      <c r="I5" s="767"/>
      <c r="J5" s="94"/>
      <c r="K5" s="248"/>
      <c r="L5" s="769" t="s">
        <v>986</v>
      </c>
      <c r="O5" s="248" t="s">
        <v>974</v>
      </c>
      <c r="P5" s="248" t="s">
        <v>985</v>
      </c>
      <c r="Q5" s="248" t="s">
        <v>975</v>
      </c>
      <c r="R5" s="248" t="s">
        <v>976</v>
      </c>
      <c r="S5" s="248" t="s">
        <v>977</v>
      </c>
      <c r="T5" s="769">
        <v>0</v>
      </c>
      <c r="U5" s="94"/>
      <c r="V5" s="94"/>
    </row>
    <row r="6" spans="1:24" ht="17.25" customHeight="1" x14ac:dyDescent="0.35">
      <c r="A6" s="833"/>
      <c r="B6" s="46"/>
      <c r="C6" s="70"/>
      <c r="D6" s="156"/>
      <c r="E6" s="14"/>
      <c r="F6" s="14"/>
      <c r="G6" s="14"/>
      <c r="H6" s="14"/>
      <c r="I6" s="767"/>
      <c r="J6" s="94"/>
      <c r="K6" s="770" t="s">
        <v>138</v>
      </c>
      <c r="L6" s="769" t="s">
        <v>979</v>
      </c>
      <c r="O6" s="769">
        <v>0</v>
      </c>
      <c r="P6" s="769">
        <v>0</v>
      </c>
      <c r="Q6" s="769">
        <v>0</v>
      </c>
      <c r="R6" s="769">
        <v>-0.4</v>
      </c>
      <c r="S6" s="769">
        <v>0.08</v>
      </c>
      <c r="T6" s="770">
        <v>0.12</v>
      </c>
      <c r="U6" s="94"/>
      <c r="V6" s="94"/>
    </row>
    <row r="7" spans="1:24" ht="19.5" customHeight="1" x14ac:dyDescent="0.35">
      <c r="A7" s="833"/>
      <c r="B7" s="46"/>
      <c r="C7" s="13" t="s">
        <v>968</v>
      </c>
      <c r="D7" s="156"/>
      <c r="E7" s="14"/>
      <c r="F7" s="14"/>
      <c r="G7" s="91" t="s">
        <v>138</v>
      </c>
      <c r="H7" s="14"/>
      <c r="I7" s="767"/>
      <c r="J7" s="94"/>
      <c r="K7" s="770" t="s">
        <v>139</v>
      </c>
      <c r="L7" s="769" t="s">
        <v>1104</v>
      </c>
      <c r="O7" s="769">
        <v>0.15</v>
      </c>
      <c r="P7" s="769">
        <v>0.1</v>
      </c>
      <c r="Q7" s="769">
        <v>0.1</v>
      </c>
      <c r="R7" s="769">
        <v>0</v>
      </c>
      <c r="S7" s="769">
        <v>0</v>
      </c>
      <c r="T7" s="770">
        <v>0.12</v>
      </c>
      <c r="U7" s="94"/>
      <c r="V7" s="94"/>
    </row>
    <row r="8" spans="1:24" s="2" customFormat="1" ht="20.149999999999999" customHeight="1" x14ac:dyDescent="0.35">
      <c r="A8" s="833"/>
      <c r="B8" s="46"/>
      <c r="C8" s="13" t="s">
        <v>970</v>
      </c>
      <c r="D8" s="156"/>
      <c r="E8" s="14"/>
      <c r="F8" s="14"/>
      <c r="G8" s="91" t="s">
        <v>138</v>
      </c>
      <c r="H8" s="14"/>
      <c r="I8" s="768"/>
      <c r="J8" s="94"/>
      <c r="K8" s="770"/>
      <c r="L8" s="770" t="s">
        <v>787</v>
      </c>
      <c r="M8" s="98"/>
      <c r="N8" s="98"/>
      <c r="O8" s="769"/>
      <c r="P8" s="769"/>
      <c r="Q8" s="769"/>
      <c r="R8" s="427"/>
      <c r="S8" s="427"/>
      <c r="T8" s="770">
        <v>0.2</v>
      </c>
      <c r="U8" s="94"/>
      <c r="V8" s="94"/>
      <c r="W8"/>
      <c r="X8"/>
    </row>
    <row r="9" spans="1:24" s="2" customFormat="1" ht="20.149999999999999" customHeight="1" x14ac:dyDescent="0.35">
      <c r="A9" s="833"/>
      <c r="B9" s="46"/>
      <c r="C9" s="13" t="s">
        <v>973</v>
      </c>
      <c r="D9" s="156"/>
      <c r="E9" s="14"/>
      <c r="F9" s="14"/>
      <c r="G9" s="496">
        <v>0</v>
      </c>
      <c r="H9" s="14" t="s">
        <v>981</v>
      </c>
      <c r="I9" s="344"/>
      <c r="J9" s="98"/>
      <c r="K9" s="98"/>
      <c r="L9" s="98"/>
      <c r="M9" s="769"/>
      <c r="N9" s="769"/>
      <c r="O9" s="427">
        <f>IF(G7="ja",O6,O7)</f>
        <v>0</v>
      </c>
      <c r="P9" s="427">
        <f>IF(G8="ja",P6,P7)</f>
        <v>0</v>
      </c>
      <c r="Q9" s="427">
        <f>Q6+(Q7-Q6)*G9/100</f>
        <v>0</v>
      </c>
      <c r="R9" s="427">
        <f>R7-(R7-R6)*G10/100</f>
        <v>0</v>
      </c>
      <c r="S9" s="98">
        <f>IF(G11="ja",S6,S7)</f>
        <v>0</v>
      </c>
      <c r="T9" s="427">
        <f>VLOOKUP(G12,L5:T8,9,FALSE)</f>
        <v>0</v>
      </c>
      <c r="U9" s="94"/>
      <c r="V9" s="94"/>
      <c r="W9"/>
      <c r="X9"/>
    </row>
    <row r="10" spans="1:24" s="2" customFormat="1" ht="20.149999999999999" customHeight="1" x14ac:dyDescent="0.35">
      <c r="A10" s="833"/>
      <c r="B10" s="46"/>
      <c r="C10" s="13" t="s">
        <v>1138</v>
      </c>
      <c r="D10" s="156"/>
      <c r="E10" s="713"/>
      <c r="F10" s="713"/>
      <c r="G10" s="496">
        <v>0</v>
      </c>
      <c r="H10" s="14" t="s">
        <v>980</v>
      </c>
      <c r="I10" s="344"/>
      <c r="J10" s="98"/>
      <c r="K10" s="98"/>
      <c r="L10" s="98"/>
      <c r="M10" s="93"/>
      <c r="N10" s="98"/>
      <c r="O10" s="98"/>
      <c r="P10" s="98"/>
      <c r="Q10" s="98"/>
      <c r="R10" s="98"/>
      <c r="S10" s="98"/>
      <c r="T10" s="98"/>
      <c r="U10" s="94"/>
      <c r="V10" s="94"/>
      <c r="W10"/>
      <c r="X10"/>
    </row>
    <row r="11" spans="1:24" s="2" customFormat="1" ht="20.149999999999999" customHeight="1" x14ac:dyDescent="0.35">
      <c r="A11" s="833"/>
      <c r="B11" s="46"/>
      <c r="C11" s="137" t="s">
        <v>971</v>
      </c>
      <c r="D11" s="143"/>
      <c r="E11" s="14"/>
      <c r="F11" s="14"/>
      <c r="G11" s="91" t="s">
        <v>139</v>
      </c>
      <c r="H11" s="14"/>
      <c r="I11" s="344"/>
      <c r="J11" s="98"/>
      <c r="K11" s="98"/>
      <c r="L11" s="98"/>
      <c r="M11" s="93"/>
      <c r="N11" s="98"/>
      <c r="O11" s="98"/>
      <c r="P11" s="98"/>
      <c r="Q11" s="98"/>
      <c r="R11" s="98"/>
      <c r="S11" s="98"/>
      <c r="T11" s="98"/>
      <c r="U11" s="94"/>
      <c r="V11" s="94"/>
      <c r="W11"/>
      <c r="X11"/>
    </row>
    <row r="12" spans="1:24" s="2" customFormat="1" ht="20.149999999999999" customHeight="1" x14ac:dyDescent="0.35">
      <c r="A12" s="833"/>
      <c r="B12" s="46"/>
      <c r="C12" s="137" t="s">
        <v>972</v>
      </c>
      <c r="D12" s="156"/>
      <c r="E12" s="170"/>
      <c r="F12" s="168"/>
      <c r="G12" s="91" t="s">
        <v>986</v>
      </c>
      <c r="H12" s="169"/>
      <c r="I12" s="768"/>
      <c r="J12" s="98"/>
      <c r="K12" s="193">
        <f>(3 + 0.028*G5^(1/1.02)*(1+O$9+P$9+Q$9+R$9+S$9+T$9))*IS+NK</f>
        <v>0</v>
      </c>
      <c r="L12" s="98" t="s">
        <v>1057</v>
      </c>
      <c r="M12" s="93"/>
      <c r="N12" s="98"/>
      <c r="O12" s="98"/>
      <c r="P12" s="98"/>
      <c r="Q12" s="98"/>
      <c r="R12" s="98"/>
      <c r="S12" s="98"/>
      <c r="T12" s="98"/>
      <c r="U12" s="94"/>
      <c r="V12" s="94"/>
      <c r="W12"/>
      <c r="X12"/>
    </row>
    <row r="13" spans="1:24" s="2" customFormat="1" ht="20.149999999999999" customHeight="1" x14ac:dyDescent="0.35">
      <c r="A13" s="833"/>
      <c r="B13" s="45"/>
      <c r="C13" s="68"/>
      <c r="D13" s="143"/>
      <c r="E13" s="170"/>
      <c r="F13" s="14"/>
      <c r="G13" s="14"/>
      <c r="H13" s="14"/>
      <c r="I13" s="768"/>
      <c r="J13" s="98"/>
      <c r="K13" s="771" t="str">
        <f>IF(G5&gt;0,K12/G5,"")</f>
        <v/>
      </c>
      <c r="L13" s="772"/>
      <c r="M13" s="93"/>
      <c r="N13" s="146"/>
      <c r="O13" s="98"/>
      <c r="P13" s="98"/>
      <c r="Q13" s="98"/>
      <c r="R13" s="98"/>
      <c r="S13" s="98"/>
      <c r="T13" s="98"/>
      <c r="U13" s="94"/>
      <c r="V13" s="94"/>
      <c r="W13"/>
      <c r="X13"/>
    </row>
    <row r="14" spans="1:24" s="2" customFormat="1" ht="20.149999999999999" customHeight="1" x14ac:dyDescent="0.35">
      <c r="A14" s="833"/>
      <c r="B14" s="46"/>
      <c r="C14" s="68"/>
      <c r="D14" s="143"/>
      <c r="E14" s="14"/>
      <c r="F14" s="14"/>
      <c r="G14" s="14"/>
      <c r="H14" s="14"/>
      <c r="I14" s="768"/>
      <c r="J14" s="98"/>
      <c r="K14" s="98"/>
      <c r="L14" s="145"/>
      <c r="M14" s="100"/>
      <c r="N14" s="132"/>
      <c r="O14" s="773"/>
      <c r="P14" s="98"/>
      <c r="Q14" s="98"/>
      <c r="R14" s="98"/>
      <c r="S14" s="98"/>
      <c r="T14" s="98"/>
      <c r="U14" s="94"/>
      <c r="V14" s="94"/>
      <c r="W14"/>
      <c r="X14"/>
    </row>
    <row r="15" spans="1:24" s="2" customFormat="1" ht="20.149999999999999" customHeight="1" x14ac:dyDescent="0.25">
      <c r="A15" s="833"/>
      <c r="B15" s="46"/>
      <c r="C15" s="47"/>
      <c r="D15" s="47"/>
      <c r="E15" s="53"/>
      <c r="F15" s="47"/>
      <c r="G15" s="592" t="s">
        <v>633</v>
      </c>
      <c r="H15" s="46"/>
      <c r="I15" s="154"/>
      <c r="J15" s="19"/>
      <c r="L15" s="719"/>
      <c r="M15" s="720"/>
      <c r="N15" s="722"/>
      <c r="O15" s="721"/>
      <c r="S15" s="98"/>
    </row>
    <row r="16" spans="1:24" s="2" customFormat="1" ht="20.149999999999999" customHeight="1" x14ac:dyDescent="0.35">
      <c r="A16" s="833"/>
      <c r="B16" s="46"/>
      <c r="C16" s="47" t="s">
        <v>34</v>
      </c>
      <c r="D16" s="47"/>
      <c r="E16" s="320"/>
      <c r="F16" s="47"/>
      <c r="G16" s="868"/>
      <c r="H16" s="869"/>
      <c r="I16" s="154"/>
      <c r="J16" s="19"/>
      <c r="K16" s="98"/>
      <c r="L16" s="723"/>
      <c r="M16" s="720"/>
      <c r="N16" s="722"/>
      <c r="O16" s="721"/>
      <c r="S16" s="98"/>
    </row>
    <row r="17" spans="1:19" s="2" customFormat="1" ht="20.149999999999999" customHeight="1" x14ac:dyDescent="0.35">
      <c r="A17" s="833"/>
      <c r="B17" s="46"/>
      <c r="C17" s="47" t="s">
        <v>1</v>
      </c>
      <c r="D17" s="47"/>
      <c r="E17" s="321"/>
      <c r="F17" s="47"/>
      <c r="G17" s="867"/>
      <c r="H17" s="867"/>
      <c r="I17" s="154"/>
      <c r="J17" s="19"/>
      <c r="K17" s="98"/>
      <c r="L17" s="724"/>
      <c r="M17" s="730"/>
      <c r="N17" s="731"/>
      <c r="O17" s="732"/>
      <c r="Q17" s="733"/>
      <c r="R17" s="733"/>
      <c r="S17" s="98"/>
    </row>
    <row r="18" spans="1:19" s="2" customFormat="1" ht="20.149999999999999" customHeight="1" x14ac:dyDescent="0.35">
      <c r="A18" s="833"/>
      <c r="B18" s="46"/>
      <c r="C18" s="46"/>
      <c r="D18" s="139"/>
      <c r="E18" s="139"/>
      <c r="F18" s="139"/>
      <c r="G18" s="139"/>
      <c r="H18" s="749" t="str">
        <f>IF(G5&gt;0,K12/G5,"")</f>
        <v/>
      </c>
      <c r="I18" s="45"/>
      <c r="J18" s="19"/>
      <c r="K18" s="96"/>
      <c r="L18" s="720"/>
      <c r="M18" s="720"/>
      <c r="N18" s="722"/>
      <c r="O18" s="721"/>
      <c r="Q18" s="733"/>
      <c r="R18" s="733"/>
      <c r="S18" s="98"/>
    </row>
    <row r="19" spans="1:19" ht="19.5" customHeight="1" x14ac:dyDescent="0.5">
      <c r="A19" s="833"/>
      <c r="B19" s="45"/>
      <c r="C19" s="54" t="str">
        <f>IF(F19=0, "UNVOLLSTÄNDIG AUSGEFÜLLT!","")</f>
        <v>UNVOLLSTÄNDIG AUSGEFÜLLT!</v>
      </c>
      <c r="D19" s="45"/>
      <c r="E19" s="45"/>
      <c r="F19" s="451">
        <f>IF(AND(ISNUMBER(G5),SUM(G5)&gt;0),1,0)</f>
        <v>0</v>
      </c>
      <c r="G19" s="852" t="str">
        <f>IF(F19&lt;&gt;0, G57,"")</f>
        <v/>
      </c>
      <c r="H19" s="852"/>
      <c r="I19" s="45"/>
      <c r="L19" s="716"/>
      <c r="M19" s="720"/>
      <c r="N19" s="722"/>
      <c r="O19" s="721"/>
      <c r="Q19" s="734"/>
      <c r="R19" s="734"/>
    </row>
    <row r="20" spans="1:19" ht="19.5" customHeight="1" x14ac:dyDescent="0.35">
      <c r="A20" s="833"/>
      <c r="B20" s="45"/>
      <c r="C20" s="45"/>
      <c r="D20" s="45"/>
      <c r="E20" s="45"/>
      <c r="F20" s="45"/>
      <c r="G20" s="45"/>
      <c r="H20" s="45"/>
      <c r="I20" s="45"/>
      <c r="L20" s="716"/>
      <c r="M20" s="720"/>
      <c r="N20" s="722"/>
      <c r="O20" s="721"/>
      <c r="Q20" s="734"/>
      <c r="R20" s="734"/>
    </row>
    <row r="21" spans="1:19" ht="15.5" x14ac:dyDescent="0.35">
      <c r="A21" s="830" t="s">
        <v>66</v>
      </c>
      <c r="I21" s="577" t="str">
        <f ca="1">IF(VLOOKUP(B27,CHOOSE({5,4,3,2,1},Gesamt!L32:L65,Gesamt!M32:M65,Gesamt!N32:N65,Gesamt!O32:O65,Gesamt!P32:P65,),4,0)&gt;0,CONCATENATE("Pos. ",VLOOKUP(B27,CHOOSE({5,4,3,2,1},Gesamt!L32:L65,Gesamt!M32:M65,Gesamt!N32:N65,Gesamt!O32:O65,Gesamt!P32:P65,),VLOOKUP(Gesamt!C19,Gesamt!L5:N7,3,0),0)),"")</f>
        <v/>
      </c>
      <c r="L21" s="716"/>
      <c r="M21" s="720"/>
      <c r="N21" s="722"/>
      <c r="O21" s="721"/>
    </row>
    <row r="22" spans="1:19" x14ac:dyDescent="0.35">
      <c r="A22" s="830"/>
      <c r="B22" s="831" t="str">
        <f>CONCATENATE(Gesamt!C2, ": ", Gesamt!E2)</f>
        <v xml:space="preserve">Projekt: </v>
      </c>
      <c r="C22" s="831"/>
      <c r="D22" s="831"/>
      <c r="E22" s="831"/>
      <c r="F22" s="831"/>
      <c r="G22" s="831"/>
      <c r="H22" s="831"/>
      <c r="I22" s="831"/>
      <c r="L22" s="716"/>
      <c r="M22" s="720"/>
      <c r="N22" s="722"/>
      <c r="O22" s="721"/>
    </row>
    <row r="23" spans="1:19" x14ac:dyDescent="0.35">
      <c r="A23" s="830"/>
      <c r="B23" s="832" t="str">
        <f>CONCATENATE(Gesamt!C4, ": ", Gesamt!E4, IF(Gesamt!E5&lt;&gt;""," - ",""), IF(Gesamt!E5&lt;&gt;"",Gesamt!E5,""), IF(Gesamt!E6&lt;&gt;""," - GZ. ",""), IF(Gesamt!E6&lt;&gt;"",Gesamt!E6,""),)</f>
        <v xml:space="preserve">Auftraggeber: </v>
      </c>
      <c r="C23" s="832"/>
      <c r="D23" s="832"/>
      <c r="E23" s="832"/>
      <c r="F23" s="832"/>
      <c r="G23" s="832"/>
      <c r="H23" s="832"/>
      <c r="I23" s="832"/>
      <c r="L23" s="716"/>
      <c r="M23" s="720"/>
      <c r="N23" s="722"/>
      <c r="O23" s="721"/>
    </row>
    <row r="24" spans="1:19" x14ac:dyDescent="0.35">
      <c r="A24" s="830"/>
      <c r="B24" s="832" t="str">
        <f>CONCATENATE(Gesamt!C9, ": ",Gesamt!E9,  IF(Gesamt!C10&lt;&gt;""," - ",""), IF(Gesamt!C10&lt;&gt;"",Gesamt!E10,""), IF(Gesamt!C11&lt;&gt;""," - GZ. ",""), IF(Gesamt!C11&lt;&gt;"",Gesamt!E11,""), )</f>
        <v xml:space="preserve">Bieter:  -  - GZ. </v>
      </c>
      <c r="C24" s="832"/>
      <c r="D24" s="832"/>
      <c r="E24" s="832"/>
      <c r="F24" s="832"/>
      <c r="G24" s="832"/>
      <c r="H24" s="832"/>
      <c r="I24" s="832"/>
      <c r="L24" s="716"/>
      <c r="M24" s="720"/>
      <c r="N24" s="722"/>
      <c r="O24" s="721"/>
    </row>
    <row r="25" spans="1:19" x14ac:dyDescent="0.35">
      <c r="A25" s="830"/>
      <c r="B25" s="832" t="s">
        <v>41</v>
      </c>
      <c r="C25" s="832"/>
      <c r="D25" s="832"/>
      <c r="E25" s="832"/>
      <c r="F25" s="832"/>
      <c r="G25" s="832"/>
      <c r="H25" s="832"/>
      <c r="I25" s="832"/>
      <c r="L25" s="716"/>
      <c r="M25" s="720"/>
      <c r="N25" s="722"/>
      <c r="O25" s="721"/>
    </row>
    <row r="26" spans="1:19" x14ac:dyDescent="0.35">
      <c r="A26" s="830"/>
      <c r="L26" s="716"/>
      <c r="M26" s="720"/>
      <c r="N26" s="722"/>
      <c r="O26" s="721"/>
    </row>
    <row r="27" spans="1:19" s="9" customFormat="1" ht="23.25" customHeight="1" x14ac:dyDescent="0.35">
      <c r="A27" s="830"/>
      <c r="B27" s="843" t="str">
        <f>CONCATENATE(D2)</f>
        <v>Nutzflächenermittlung</v>
      </c>
      <c r="C27" s="843"/>
      <c r="D27" s="843"/>
      <c r="E27" s="843"/>
      <c r="F27" s="843"/>
      <c r="G27" s="843"/>
      <c r="H27" s="843"/>
      <c r="I27" s="843"/>
      <c r="J27" s="20"/>
      <c r="K27" s="101"/>
      <c r="L27" s="726"/>
      <c r="M27" s="720"/>
      <c r="N27" s="722"/>
      <c r="O27" s="721"/>
      <c r="R27" s="103"/>
      <c r="S27" s="103"/>
    </row>
    <row r="28" spans="1:19" x14ac:dyDescent="0.35">
      <c r="A28" s="830"/>
      <c r="L28" s="716"/>
      <c r="M28" s="730"/>
      <c r="N28" s="731"/>
      <c r="O28" s="732"/>
    </row>
    <row r="29" spans="1:19" x14ac:dyDescent="0.35">
      <c r="A29" s="830"/>
      <c r="C29" t="s">
        <v>691</v>
      </c>
      <c r="L29" s="716"/>
      <c r="M29" s="720"/>
      <c r="N29" s="722"/>
      <c r="O29" s="721"/>
    </row>
    <row r="30" spans="1:19" x14ac:dyDescent="0.35">
      <c r="A30" s="830"/>
      <c r="L30" s="716"/>
      <c r="M30" s="720"/>
      <c r="N30" s="722"/>
      <c r="O30" s="721"/>
    </row>
    <row r="31" spans="1:19" x14ac:dyDescent="0.35">
      <c r="A31" s="830"/>
      <c r="C31" t="s">
        <v>959</v>
      </c>
      <c r="E31" s="118">
        <f>IS</f>
        <v>0</v>
      </c>
      <c r="L31" s="716"/>
      <c r="M31" s="720"/>
      <c r="N31" s="722"/>
      <c r="O31" s="721"/>
    </row>
    <row r="32" spans="1:19" x14ac:dyDescent="0.35">
      <c r="A32" s="830"/>
      <c r="E32" s="118"/>
      <c r="L32" s="716"/>
      <c r="M32" s="720"/>
      <c r="N32" s="722"/>
      <c r="O32" s="721"/>
    </row>
    <row r="33" spans="1:19" x14ac:dyDescent="0.35">
      <c r="A33" s="830"/>
      <c r="C33" t="s">
        <v>1140</v>
      </c>
      <c r="E33" s="118"/>
      <c r="L33" s="716"/>
      <c r="M33" s="720"/>
      <c r="N33" s="722"/>
      <c r="O33" s="721"/>
    </row>
    <row r="34" spans="1:19" x14ac:dyDescent="0.35">
      <c r="A34" s="830"/>
      <c r="L34" s="716"/>
      <c r="M34" s="720"/>
      <c r="N34" s="722"/>
      <c r="O34" s="721"/>
    </row>
    <row r="35" spans="1:19" x14ac:dyDescent="0.35">
      <c r="A35" s="830"/>
      <c r="L35" s="716"/>
      <c r="M35" s="720"/>
      <c r="N35" s="722"/>
      <c r="O35" s="721"/>
    </row>
    <row r="36" spans="1:19" x14ac:dyDescent="0.35">
      <c r="A36" s="830"/>
      <c r="C36" s="134" t="s">
        <v>990</v>
      </c>
      <c r="D36" s="735" t="str">
        <f>CONCATENATE(G5,"m2   ")</f>
        <v xml:space="preserve">m2   </v>
      </c>
      <c r="E36" t="s">
        <v>967</v>
      </c>
      <c r="L36" s="716"/>
      <c r="M36" s="720"/>
      <c r="N36" s="722"/>
      <c r="O36" s="721"/>
    </row>
    <row r="37" spans="1:19" x14ac:dyDescent="0.35">
      <c r="A37" s="830"/>
      <c r="D37" s="735"/>
      <c r="L37" s="716"/>
      <c r="M37" s="720"/>
      <c r="N37" s="722"/>
      <c r="O37" s="721"/>
    </row>
    <row r="38" spans="1:19" x14ac:dyDescent="0.35">
      <c r="A38" s="830"/>
      <c r="C38" s="134" t="s">
        <v>991</v>
      </c>
      <c r="D38" s="735" t="str">
        <f>CONCATENATE(G7,"   ")</f>
        <v xml:space="preserve">ja   </v>
      </c>
      <c r="E38" t="s">
        <v>982</v>
      </c>
      <c r="L38" s="716"/>
      <c r="M38" s="720"/>
      <c r="N38" s="722"/>
      <c r="O38" s="721"/>
    </row>
    <row r="39" spans="1:19" x14ac:dyDescent="0.35">
      <c r="A39" s="830"/>
      <c r="C39" s="134" t="s">
        <v>992</v>
      </c>
      <c r="D39" s="735" t="str">
        <f>CONCATENATE(G8,"   ")</f>
        <v xml:space="preserve">ja   </v>
      </c>
      <c r="E39" t="s">
        <v>983</v>
      </c>
      <c r="L39" s="716"/>
      <c r="M39" s="720"/>
      <c r="N39" s="722"/>
      <c r="O39" s="721"/>
    </row>
    <row r="40" spans="1:19" ht="16.5" x14ac:dyDescent="0.35">
      <c r="A40" s="830"/>
      <c r="C40" s="134" t="s">
        <v>993</v>
      </c>
      <c r="D40" s="735" t="str">
        <f>CONCATENATE(G9,"%   ")</f>
        <v xml:space="preserve">0%   </v>
      </c>
      <c r="E40" t="s">
        <v>1139</v>
      </c>
      <c r="L40" s="716"/>
      <c r="M40" s="720"/>
      <c r="N40" s="722"/>
      <c r="O40" s="721"/>
    </row>
    <row r="41" spans="1:19" x14ac:dyDescent="0.35">
      <c r="A41" s="830"/>
      <c r="C41" s="134" t="s">
        <v>994</v>
      </c>
      <c r="D41" s="735" t="str">
        <f>CONCATENATE(G10,"%   ")</f>
        <v xml:space="preserve">0%   </v>
      </c>
      <c r="E41" t="s">
        <v>971</v>
      </c>
      <c r="L41" s="716"/>
      <c r="M41" s="720"/>
      <c r="N41" s="722"/>
      <c r="O41" s="721"/>
    </row>
    <row r="42" spans="1:19" x14ac:dyDescent="0.35">
      <c r="A42" s="830"/>
      <c r="C42" s="134" t="s">
        <v>995</v>
      </c>
      <c r="D42" s="735" t="str">
        <f>CONCATENATE(G12,"   ")</f>
        <v xml:space="preserve">keine   </v>
      </c>
      <c r="E42" t="s">
        <v>984</v>
      </c>
      <c r="L42" s="716"/>
      <c r="M42" s="720"/>
      <c r="N42" s="722"/>
      <c r="O42" s="721"/>
    </row>
    <row r="43" spans="1:19" x14ac:dyDescent="0.35">
      <c r="A43" s="830"/>
      <c r="C43" s="171"/>
      <c r="D43" s="171"/>
      <c r="E43" s="174"/>
      <c r="L43" s="716"/>
      <c r="M43" s="720"/>
      <c r="N43" s="722"/>
      <c r="O43" s="721"/>
    </row>
    <row r="44" spans="1:19" x14ac:dyDescent="0.35">
      <c r="A44" s="830"/>
      <c r="C44" s="28"/>
      <c r="D44" s="171" t="str">
        <f t="shared" ref="D44:D46" si="0">IF(D9&gt;0,D9,"")</f>
        <v/>
      </c>
      <c r="E44" s="134"/>
      <c r="F44" t="str">
        <f t="shared" ref="F44:F45" si="1">IF(D9&gt;0,F9,"")</f>
        <v/>
      </c>
      <c r="G44" s="28"/>
      <c r="H44" s="1"/>
      <c r="L44" s="716"/>
      <c r="M44" s="720"/>
      <c r="N44" s="722"/>
      <c r="O44" s="721"/>
    </row>
    <row r="45" spans="1:19" x14ac:dyDescent="0.35">
      <c r="A45" s="830"/>
      <c r="C45" s="28"/>
      <c r="D45" s="171" t="str">
        <f t="shared" si="0"/>
        <v/>
      </c>
      <c r="E45" s="134"/>
      <c r="F45" t="str">
        <f t="shared" si="1"/>
        <v/>
      </c>
      <c r="G45" s="28"/>
      <c r="H45" s="1"/>
      <c r="K45" s="119"/>
      <c r="L45" s="716"/>
      <c r="M45" s="720"/>
      <c r="N45" s="722"/>
      <c r="O45" s="721"/>
    </row>
    <row r="46" spans="1:19" x14ac:dyDescent="0.35">
      <c r="A46" s="830"/>
      <c r="C46" s="28"/>
      <c r="D46" s="171" t="str">
        <f t="shared" si="0"/>
        <v/>
      </c>
      <c r="E46" s="134"/>
      <c r="F46" t="str">
        <f>IF(D11&gt;0,F11,"")</f>
        <v/>
      </c>
      <c r="G46" s="28"/>
      <c r="H46" s="1"/>
      <c r="K46" s="119"/>
      <c r="L46" s="716"/>
      <c r="M46" s="720"/>
      <c r="N46" s="722"/>
      <c r="O46" s="721"/>
    </row>
    <row r="47" spans="1:19" s="3" customFormat="1" x14ac:dyDescent="0.35">
      <c r="A47" s="830"/>
      <c r="B47"/>
      <c r="C47"/>
      <c r="D47"/>
      <c r="E47" s="127"/>
      <c r="F47" s="128"/>
      <c r="G47"/>
      <c r="H47"/>
      <c r="I47"/>
      <c r="J47" s="23"/>
      <c r="K47" s="120"/>
      <c r="L47" s="727"/>
      <c r="M47" s="720"/>
      <c r="N47" s="722"/>
      <c r="O47" s="721"/>
      <c r="R47" s="105"/>
      <c r="S47" s="105"/>
    </row>
    <row r="48" spans="1:19" x14ac:dyDescent="0.35">
      <c r="A48" s="830"/>
      <c r="D48" s="171"/>
      <c r="E48" s="134"/>
      <c r="K48" s="119"/>
      <c r="L48" s="716"/>
      <c r="M48" s="720"/>
      <c r="N48" s="722"/>
      <c r="O48" s="721"/>
    </row>
    <row r="49" spans="1:19" x14ac:dyDescent="0.35">
      <c r="A49" s="830"/>
      <c r="D49" s="171"/>
      <c r="E49" s="134"/>
      <c r="K49" s="119"/>
      <c r="L49" s="716"/>
      <c r="M49" s="720"/>
      <c r="N49" s="722"/>
      <c r="O49" s="721"/>
    </row>
    <row r="50" spans="1:19" x14ac:dyDescent="0.35">
      <c r="A50" s="830"/>
      <c r="B50" s="3"/>
      <c r="C50" t="s">
        <v>60</v>
      </c>
      <c r="F50" s="118">
        <f>IF(F19&lt;&gt;0,ROUND(K12,2),0)</f>
        <v>0</v>
      </c>
      <c r="I50" s="3"/>
      <c r="L50" s="716"/>
      <c r="M50" s="720"/>
      <c r="N50" s="722"/>
      <c r="O50" s="721"/>
    </row>
    <row r="51" spans="1:19" x14ac:dyDescent="0.35">
      <c r="A51" s="830"/>
      <c r="L51" s="716"/>
      <c r="M51" s="720"/>
      <c r="N51" s="722"/>
      <c r="O51" s="721"/>
    </row>
    <row r="52" spans="1:19" x14ac:dyDescent="0.35">
      <c r="A52" s="830"/>
      <c r="L52" s="716"/>
      <c r="M52" s="720"/>
      <c r="N52" s="722"/>
      <c r="O52" s="721"/>
    </row>
    <row r="53" spans="1:19" x14ac:dyDescent="0.35">
      <c r="A53" s="830"/>
      <c r="C53" t="str">
        <f>IF(AND(ZuAbschlag&lt;&gt;0,VSK&lt;&gt;0),"Zu-/Abschlag:","")</f>
        <v/>
      </c>
      <c r="E53" s="15" t="str">
        <f>IF(AND(ZuAbschlag&lt;&gt;0,VSK&lt;&gt;0),ZuAbschlag,"")</f>
        <v/>
      </c>
      <c r="F53" s="17" t="str">
        <f>IF(AND(ZuAbschlag&lt;&gt;0,VSK&lt;&gt;0),F50*E53,"")</f>
        <v/>
      </c>
      <c r="G53" s="1" t="str">
        <f>IF(AND(ZuAbschlag&lt;&gt;0,VSK&lt;&gt;0,G16&lt;&gt;""),G16,"")</f>
        <v/>
      </c>
      <c r="L53" s="716"/>
      <c r="M53" s="720"/>
      <c r="N53" s="722"/>
      <c r="O53" s="721"/>
    </row>
    <row r="54" spans="1:19" x14ac:dyDescent="0.35">
      <c r="A54" s="830"/>
      <c r="C54" t="str">
        <f>IF(AND(NK&lt;&gt;0,VSK&lt;&gt;0),"Nebenkosten:","")</f>
        <v/>
      </c>
      <c r="F54" s="17" t="str">
        <f>IF(AND(NK&lt;&gt;0,VSK&lt;&gt;0),NK,"")</f>
        <v/>
      </c>
      <c r="G54" s="1" t="str">
        <f>IF(AND(NK&lt;&gt;0,VSK&lt;&gt;0,G17&lt;&gt;""),G17,"")</f>
        <v/>
      </c>
      <c r="L54" s="716"/>
      <c r="M54" s="720"/>
      <c r="N54" s="722"/>
      <c r="O54" s="721"/>
    </row>
    <row r="55" spans="1:19" x14ac:dyDescent="0.35">
      <c r="A55" s="830"/>
      <c r="C55" s="78"/>
      <c r="D55" s="78"/>
      <c r="E55" s="78"/>
      <c r="F55" s="151"/>
      <c r="G55" s="78"/>
      <c r="H55" s="78"/>
      <c r="L55" s="716"/>
      <c r="M55" s="720"/>
      <c r="N55" s="722"/>
      <c r="O55" s="721"/>
    </row>
    <row r="56" spans="1:19" x14ac:dyDescent="0.35">
      <c r="A56" s="830"/>
      <c r="C56" t="str">
        <f>IF(E18&gt;0,"Nebenkosten:","")</f>
        <v/>
      </c>
      <c r="F56" s="118" t="str">
        <f>IF(E18&gt;0,ROUND(E18,2),"")</f>
        <v/>
      </c>
      <c r="L56" s="716"/>
      <c r="M56" s="720"/>
      <c r="N56" s="722"/>
      <c r="O56" s="721"/>
    </row>
    <row r="57" spans="1:19" s="11" customFormat="1" ht="15.5" x14ac:dyDescent="0.35">
      <c r="A57" s="830"/>
      <c r="B57"/>
      <c r="C57" s="16" t="s">
        <v>65</v>
      </c>
      <c r="D57" s="110"/>
      <c r="E57" s="110"/>
      <c r="F57" s="113"/>
      <c r="G57" s="842">
        <f>IF(F19,SUM(F50:F54),0)</f>
        <v>0</v>
      </c>
      <c r="H57" s="842"/>
      <c r="I57"/>
      <c r="J57" s="114"/>
      <c r="K57" s="115"/>
      <c r="L57" s="728"/>
      <c r="M57" s="720"/>
      <c r="N57" s="722"/>
      <c r="O57" s="721"/>
      <c r="R57" s="117"/>
      <c r="S57" s="117"/>
    </row>
    <row r="58" spans="1:19" x14ac:dyDescent="0.35">
      <c r="A58" s="830"/>
      <c r="C58" s="30"/>
      <c r="E58" s="28"/>
      <c r="F58" s="118"/>
      <c r="L58" s="716"/>
      <c r="M58" s="720"/>
      <c r="N58" s="722"/>
      <c r="O58" s="721"/>
    </row>
    <row r="59" spans="1:19" ht="15.5" x14ac:dyDescent="0.35">
      <c r="A59" s="830"/>
      <c r="B59" s="11"/>
      <c r="C59" s="30"/>
      <c r="E59" s="28"/>
      <c r="F59" s="118"/>
      <c r="I59" s="11"/>
      <c r="L59" s="716"/>
      <c r="M59" s="720"/>
      <c r="N59" s="722"/>
      <c r="O59" s="721"/>
    </row>
    <row r="60" spans="1:19" x14ac:dyDescent="0.35">
      <c r="A60" s="830"/>
      <c r="L60" s="716"/>
      <c r="M60" s="720"/>
      <c r="N60" s="722"/>
      <c r="O60" s="721"/>
    </row>
    <row r="61" spans="1:19" ht="15.5" x14ac:dyDescent="0.35">
      <c r="A61" s="830"/>
      <c r="C61" s="11"/>
      <c r="D61" s="110"/>
      <c r="E61" s="110"/>
      <c r="F61" s="113"/>
      <c r="H61" s="18"/>
      <c r="I61" s="92"/>
      <c r="J61" s="93"/>
      <c r="K61" s="93"/>
      <c r="L61" s="725"/>
      <c r="M61" s="720"/>
      <c r="N61" s="722"/>
      <c r="O61" s="721"/>
      <c r="R61"/>
      <c r="S61"/>
    </row>
    <row r="62" spans="1:19" x14ac:dyDescent="0.35">
      <c r="A62" s="830"/>
      <c r="F62" s="28"/>
      <c r="L62" s="716"/>
      <c r="M62" s="720"/>
      <c r="N62" s="722"/>
      <c r="O62" s="721"/>
    </row>
    <row r="63" spans="1:19" s="16" customFormat="1" ht="15.5" x14ac:dyDescent="0.35">
      <c r="A63" s="830"/>
      <c r="B63"/>
      <c r="C63"/>
      <c r="D63"/>
      <c r="E63" s="15"/>
      <c r="F63" s="17"/>
      <c r="G63" s="1"/>
      <c r="H63"/>
      <c r="I63"/>
      <c r="J63" s="21"/>
      <c r="K63" s="106"/>
      <c r="L63" s="729"/>
      <c r="M63" s="720"/>
      <c r="N63" s="722"/>
      <c r="O63" s="721"/>
      <c r="R63" s="108"/>
      <c r="S63" s="108"/>
    </row>
    <row r="64" spans="1:19" x14ac:dyDescent="0.35">
      <c r="A64" s="830"/>
      <c r="F64" s="28"/>
      <c r="G64" s="1"/>
      <c r="L64" s="716"/>
      <c r="M64" s="720"/>
      <c r="N64" s="722"/>
      <c r="O64" s="721"/>
    </row>
    <row r="65" spans="1:15" x14ac:dyDescent="0.35">
      <c r="A65" s="830"/>
      <c r="L65" s="716"/>
      <c r="M65" s="720"/>
      <c r="N65" s="722"/>
      <c r="O65" s="721"/>
    </row>
    <row r="66" spans="1:15" x14ac:dyDescent="0.35">
      <c r="A66" s="830"/>
      <c r="L66" s="716"/>
      <c r="M66" s="720"/>
      <c r="N66" s="722"/>
      <c r="O66" s="721"/>
    </row>
    <row r="67" spans="1:15" x14ac:dyDescent="0.35">
      <c r="A67" s="830"/>
      <c r="L67" s="716"/>
      <c r="M67" s="720"/>
      <c r="N67" s="722"/>
      <c r="O67" s="721"/>
    </row>
    <row r="68" spans="1:15" x14ac:dyDescent="0.35">
      <c r="L68" s="716"/>
      <c r="M68" s="720"/>
      <c r="N68" s="722"/>
      <c r="O68" s="721"/>
    </row>
    <row r="69" spans="1:15" x14ac:dyDescent="0.35">
      <c r="L69" s="716"/>
      <c r="M69" s="720"/>
      <c r="N69" s="722"/>
      <c r="O69" s="721"/>
    </row>
    <row r="70" spans="1:15" x14ac:dyDescent="0.35">
      <c r="L70" s="716"/>
      <c r="M70" s="720"/>
      <c r="N70" s="722"/>
      <c r="O70" s="721"/>
    </row>
    <row r="71" spans="1:15" x14ac:dyDescent="0.35">
      <c r="L71" s="716"/>
      <c r="M71" s="720"/>
      <c r="N71" s="722"/>
      <c r="O71" s="721"/>
    </row>
    <row r="72" spans="1:15" x14ac:dyDescent="0.35">
      <c r="L72" s="716"/>
      <c r="M72" s="720"/>
      <c r="N72" s="722"/>
      <c r="O72" s="721"/>
    </row>
    <row r="73" spans="1:15" x14ac:dyDescent="0.35">
      <c r="L73" s="716"/>
      <c r="M73" s="720"/>
      <c r="N73" s="722"/>
      <c r="O73" s="721"/>
    </row>
    <row r="74" spans="1:15" x14ac:dyDescent="0.35">
      <c r="L74" s="716"/>
      <c r="M74" s="720"/>
      <c r="N74" s="722"/>
      <c r="O74" s="721"/>
    </row>
    <row r="75" spans="1:15" x14ac:dyDescent="0.35">
      <c r="L75" s="716"/>
      <c r="M75" s="720"/>
      <c r="N75" s="722"/>
      <c r="O75" s="721"/>
    </row>
    <row r="76" spans="1:15" x14ac:dyDescent="0.35">
      <c r="L76" s="716"/>
      <c r="M76" s="720"/>
      <c r="N76" s="722"/>
      <c r="O76" s="721"/>
    </row>
    <row r="77" spans="1:15" x14ac:dyDescent="0.35">
      <c r="L77" s="716"/>
      <c r="M77" s="720"/>
      <c r="N77" s="722"/>
      <c r="O77" s="721"/>
    </row>
    <row r="78" spans="1:15" x14ac:dyDescent="0.35">
      <c r="L78" s="716"/>
      <c r="M78" s="716"/>
      <c r="N78" s="722"/>
      <c r="O78" s="721"/>
    </row>
    <row r="79" spans="1:15" x14ac:dyDescent="0.35">
      <c r="L79" s="716"/>
      <c r="M79" s="716"/>
      <c r="N79" s="722"/>
      <c r="O79" s="721"/>
    </row>
    <row r="80" spans="1:15" x14ac:dyDescent="0.35">
      <c r="L80" s="716"/>
      <c r="M80" s="716"/>
      <c r="N80" s="722"/>
      <c r="O80" s="721"/>
    </row>
    <row r="81" spans="12:15" x14ac:dyDescent="0.35">
      <c r="L81" s="716"/>
      <c r="M81" s="716"/>
      <c r="N81" s="722"/>
      <c r="O81" s="721"/>
    </row>
    <row r="82" spans="12:15" x14ac:dyDescent="0.35">
      <c r="L82" s="716"/>
      <c r="M82" s="716"/>
      <c r="N82" s="722"/>
      <c r="O82" s="721"/>
    </row>
    <row r="83" spans="12:15" x14ac:dyDescent="0.35">
      <c r="L83" s="716"/>
      <c r="M83" s="716"/>
      <c r="N83" s="722"/>
      <c r="O83" s="721"/>
    </row>
    <row r="84" spans="12:15" x14ac:dyDescent="0.35">
      <c r="L84" s="716"/>
      <c r="M84" s="716"/>
      <c r="N84" s="722"/>
      <c r="O84" s="721"/>
    </row>
    <row r="85" spans="12:15" x14ac:dyDescent="0.35">
      <c r="L85" s="716"/>
      <c r="M85" s="716"/>
      <c r="N85" s="722"/>
      <c r="O85" s="721"/>
    </row>
    <row r="86" spans="12:15" x14ac:dyDescent="0.35">
      <c r="L86" s="716"/>
      <c r="M86" s="716"/>
      <c r="N86" s="722"/>
      <c r="O86" s="721"/>
    </row>
    <row r="87" spans="12:15" x14ac:dyDescent="0.35">
      <c r="L87" s="716"/>
      <c r="M87" s="716"/>
      <c r="N87" s="722"/>
      <c r="O87" s="721"/>
    </row>
    <row r="88" spans="12:15" x14ac:dyDescent="0.35">
      <c r="L88" s="716"/>
      <c r="M88" s="716"/>
      <c r="N88" s="725"/>
      <c r="O88" s="721"/>
    </row>
    <row r="89" spans="12:15" x14ac:dyDescent="0.35">
      <c r="L89" s="716"/>
      <c r="M89" s="716"/>
      <c r="N89" s="725"/>
      <c r="O89" s="721"/>
    </row>
  </sheetData>
  <mergeCells count="13">
    <mergeCell ref="G17:H17"/>
    <mergeCell ref="G19:H19"/>
    <mergeCell ref="A21:A67"/>
    <mergeCell ref="B22:I22"/>
    <mergeCell ref="B23:I23"/>
    <mergeCell ref="B24:I24"/>
    <mergeCell ref="B25:I25"/>
    <mergeCell ref="B27:I27"/>
    <mergeCell ref="G57:H57"/>
    <mergeCell ref="A1:A20"/>
    <mergeCell ref="D2:H2"/>
    <mergeCell ref="D3:H3"/>
    <mergeCell ref="G16:H16"/>
  </mergeCells>
  <dataValidations count="6">
    <dataValidation type="decimal" operator="greaterThan" allowBlank="1" showInputMessage="1" showErrorMessage="1" sqref="E17" xr:uid="{4090BBCB-0CB3-4F0D-AA7C-0C016E50C9C2}">
      <formula1>-1000000</formula1>
    </dataValidation>
    <dataValidation type="decimal" operator="greaterThan" showInputMessage="1" showErrorMessage="1" sqref="E16" xr:uid="{5CAFDFEA-830F-45CC-A349-E0229A7A4541}">
      <formula1>-1000</formula1>
    </dataValidation>
    <dataValidation type="list" allowBlank="1" showInputMessage="1" showErrorMessage="1" sqref="G7:G8 G11" xr:uid="{939A84B2-3CD8-4584-9D0E-5E820A0E22AD}">
      <formula1>$K$6:$K$7</formula1>
    </dataValidation>
    <dataValidation type="decimal" allowBlank="1" showInputMessage="1" showErrorMessage="1" error="Werte von 0 bis 100 erlaubt" sqref="G9:G10" xr:uid="{FA534556-E837-47B5-805F-37E636FDF22A}">
      <formula1>0</formula1>
      <formula2>100</formula2>
    </dataValidation>
    <dataValidation type="list" allowBlank="1" showInputMessage="1" showErrorMessage="1" sqref="G12" xr:uid="{966F1D5F-C333-4055-AEE9-FD6DBB7F17D5}">
      <formula1>$L$5:$L$8</formula1>
    </dataValidation>
    <dataValidation type="decimal" operator="greaterThan" allowBlank="1" showInputMessage="1" showErrorMessage="1" errorTitle="Nutzfläche angeben!" error="geschätzte Nutzfläche &gt; 0 eingeben" promptTitle="geschätzte Nutzfläche" prompt="Zahl &gt; 0 eingeben" sqref="G5" xr:uid="{A5B09843-D561-4FFB-A494-CC8545D93F91}">
      <formula1>0</formula1>
    </dataValidation>
  </dataValidations>
  <pageMargins left="0.70866141732283472" right="0.39370078740157483" top="0.59055118110236227" bottom="0.59055118110236227" header="0.31496062992125984" footer="0.31496062992125984"/>
  <pageSetup paperSize="9" orientation="portrait" r:id="rId1"/>
  <headerFooter>
    <oddFooter>&amp;L&amp;9&amp;F, &amp;A&amp;R&amp;9&amp;D</oddFooter>
  </headerFooter>
  <legacyDrawingHF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E24D74-A99A-48D4-900A-E638AC2EFE9A}">
  <dimension ref="A1:AD95"/>
  <sheetViews>
    <sheetView zoomScaleNormal="100" zoomScaleSheetLayoutView="100" workbookViewId="0">
      <selection activeCell="E6" sqref="E6"/>
    </sheetView>
  </sheetViews>
  <sheetFormatPr baseColWidth="10" defaultRowHeight="14.5" x14ac:dyDescent="0.35"/>
  <cols>
    <col min="1" max="1" width="4" customWidth="1"/>
    <col min="2" max="2" width="6.7265625" customWidth="1"/>
    <col min="3" max="8" width="12.7265625" customWidth="1"/>
    <col min="9" max="9" width="5.7265625" customWidth="1"/>
    <col min="10" max="10" width="8.7265625" style="18" customWidth="1"/>
    <col min="11" max="11" width="11.453125" style="92"/>
    <col min="12" max="13" width="11.453125" style="93"/>
    <col min="14" max="19" width="11.453125" style="94"/>
    <col min="26" max="26" width="11.453125" customWidth="1"/>
  </cols>
  <sheetData>
    <row r="1" spans="1:30" ht="17.25" customHeight="1" x14ac:dyDescent="0.35">
      <c r="A1" s="833" t="s">
        <v>35</v>
      </c>
      <c r="B1" s="45"/>
      <c r="C1" s="45"/>
      <c r="D1" s="45"/>
      <c r="E1" s="45"/>
      <c r="F1" s="45"/>
      <c r="G1" s="45"/>
      <c r="H1" s="45"/>
      <c r="I1" s="45"/>
      <c r="K1" s="93" t="s">
        <v>699</v>
      </c>
      <c r="N1" s="94">
        <f ca="1">CELL("ZEILE",B33)</f>
        <v>33</v>
      </c>
    </row>
    <row r="2" spans="1:30" ht="22.5" customHeight="1" x14ac:dyDescent="0.35">
      <c r="A2" s="833"/>
      <c r="B2" s="46"/>
      <c r="C2" s="47" t="s">
        <v>36</v>
      </c>
      <c r="D2" s="848" t="s">
        <v>95</v>
      </c>
      <c r="E2" s="849"/>
      <c r="F2" s="849"/>
      <c r="G2" s="849"/>
      <c r="H2" s="850"/>
      <c r="I2" s="45"/>
      <c r="K2" s="175" t="s">
        <v>700</v>
      </c>
      <c r="L2" s="155"/>
      <c r="M2" s="155"/>
      <c r="N2" s="175">
        <f ca="1">CELL("ZEILE",G69)</f>
        <v>69</v>
      </c>
      <c r="O2" s="95"/>
    </row>
    <row r="3" spans="1:30" ht="22.5" customHeight="1" x14ac:dyDescent="0.35">
      <c r="A3" s="833"/>
      <c r="B3" s="46"/>
      <c r="C3" s="61"/>
      <c r="D3" s="912"/>
      <c r="E3" s="913"/>
      <c r="F3" s="913"/>
      <c r="G3" s="913"/>
      <c r="H3" s="914"/>
      <c r="I3" s="45"/>
      <c r="K3" s="175" t="s">
        <v>701</v>
      </c>
      <c r="L3" s="155"/>
      <c r="M3" s="155"/>
      <c r="N3" s="175">
        <f>F25</f>
        <v>0</v>
      </c>
      <c r="O3" s="95"/>
    </row>
    <row r="4" spans="1:30" ht="17.25" customHeight="1" x14ac:dyDescent="0.35">
      <c r="A4" s="833"/>
      <c r="B4" s="46"/>
      <c r="C4" s="137"/>
      <c r="D4" s="14"/>
      <c r="E4" s="915" t="s">
        <v>1000</v>
      </c>
      <c r="F4" s="915" t="s">
        <v>1001</v>
      </c>
      <c r="G4" s="915" t="s">
        <v>1002</v>
      </c>
      <c r="H4" s="14"/>
      <c r="I4" s="45"/>
      <c r="K4" s="95"/>
      <c r="L4" s="144"/>
      <c r="M4" s="144"/>
      <c r="N4" s="95"/>
      <c r="O4" s="95" t="s">
        <v>1042</v>
      </c>
      <c r="P4" s="774"/>
      <c r="Q4" s="774"/>
      <c r="R4" s="774"/>
      <c r="S4" s="98"/>
      <c r="T4" s="95" t="s">
        <v>1018</v>
      </c>
      <c r="U4" s="95" t="s">
        <v>1019</v>
      </c>
      <c r="V4" s="95" t="s">
        <v>1020</v>
      </c>
      <c r="W4" s="94"/>
      <c r="X4" s="94"/>
      <c r="Y4" s="94"/>
      <c r="Z4" s="94"/>
      <c r="AA4" s="94"/>
      <c r="AB4" s="94"/>
      <c r="AC4" s="94"/>
      <c r="AD4" s="94"/>
    </row>
    <row r="5" spans="1:30" ht="17.25" customHeight="1" x14ac:dyDescent="0.35">
      <c r="A5" s="833"/>
      <c r="B5" s="46"/>
      <c r="C5" s="63"/>
      <c r="D5" s="68"/>
      <c r="E5" s="916"/>
      <c r="F5" s="916"/>
      <c r="G5" s="916"/>
      <c r="H5" s="14"/>
      <c r="I5" s="45"/>
      <c r="K5" s="175" t="s">
        <v>1003</v>
      </c>
      <c r="L5" s="95"/>
      <c r="M5" s="95"/>
      <c r="N5" s="95"/>
      <c r="O5" s="775">
        <v>0</v>
      </c>
      <c r="P5" s="98" t="s">
        <v>996</v>
      </c>
      <c r="Q5" s="774"/>
      <c r="R5" s="774"/>
      <c r="S5" s="774"/>
      <c r="T5" s="776">
        <v>0.3</v>
      </c>
      <c r="U5" s="776">
        <v>0.15</v>
      </c>
      <c r="V5" s="776"/>
      <c r="W5" s="525" t="s">
        <v>1021</v>
      </c>
      <c r="X5" s="527"/>
      <c r="Y5" s="923" t="s">
        <v>1018</v>
      </c>
      <c r="Z5" s="922" t="s">
        <v>1030</v>
      </c>
      <c r="AA5" s="923" t="s">
        <v>1001</v>
      </c>
      <c r="AB5" s="922" t="s">
        <v>1030</v>
      </c>
      <c r="AC5" s="923" t="s">
        <v>1002</v>
      </c>
      <c r="AD5" s="922" t="s">
        <v>1030</v>
      </c>
    </row>
    <row r="6" spans="1:30" ht="17.25" customHeight="1" x14ac:dyDescent="0.35">
      <c r="A6" s="833"/>
      <c r="B6" s="46"/>
      <c r="C6" s="13" t="s">
        <v>996</v>
      </c>
      <c r="D6" s="156"/>
      <c r="E6" s="736"/>
      <c r="F6" s="736"/>
      <c r="G6" s="14"/>
      <c r="H6" s="917" t="str">
        <f>IF(AND(E10&lt;200,E10&gt;0),"Gesamtbruttogeschoßflächen unter 200m² können nach Zeit- und Sachaufwand verrechnet werden.","")</f>
        <v/>
      </c>
      <c r="I6" s="45"/>
      <c r="K6" s="175" t="s">
        <v>178</v>
      </c>
      <c r="L6" s="95"/>
      <c r="M6" s="95"/>
      <c r="N6" s="95"/>
      <c r="O6" s="775">
        <v>0.25</v>
      </c>
      <c r="P6" s="98" t="s">
        <v>997</v>
      </c>
      <c r="Q6" s="774"/>
      <c r="R6" s="774"/>
      <c r="S6" s="774"/>
      <c r="T6" s="776">
        <v>0</v>
      </c>
      <c r="U6" s="776">
        <v>0</v>
      </c>
      <c r="V6" s="776">
        <v>0</v>
      </c>
      <c r="W6" s="527"/>
      <c r="X6" s="777"/>
      <c r="Y6" s="923"/>
      <c r="Z6" s="922"/>
      <c r="AA6" s="923"/>
      <c r="AB6" s="922"/>
      <c r="AC6" s="923"/>
      <c r="AD6" s="922"/>
    </row>
    <row r="7" spans="1:30" ht="17.25" customHeight="1" x14ac:dyDescent="0.35">
      <c r="A7" s="833"/>
      <c r="B7" s="46"/>
      <c r="C7" s="13" t="s">
        <v>997</v>
      </c>
      <c r="D7" s="156"/>
      <c r="E7" s="736"/>
      <c r="F7" s="736"/>
      <c r="G7" s="736"/>
      <c r="H7" s="917"/>
      <c r="I7" s="45"/>
      <c r="K7" s="95" t="s">
        <v>1022</v>
      </c>
      <c r="L7" s="95"/>
      <c r="M7" s="95"/>
      <c r="N7" s="95"/>
      <c r="O7" s="775">
        <f>VLOOKUP(E13,K5:O6,5,FALSE)</f>
        <v>0</v>
      </c>
      <c r="P7" s="98" t="s">
        <v>1010</v>
      </c>
      <c r="Q7" s="774"/>
      <c r="R7" s="774"/>
      <c r="S7" s="774"/>
      <c r="T7" s="776">
        <v>-0.3</v>
      </c>
      <c r="U7" s="776">
        <v>-0.3</v>
      </c>
      <c r="V7" s="776"/>
      <c r="W7" s="525" t="s">
        <v>1029</v>
      </c>
      <c r="X7" s="778"/>
      <c r="Y7" s="779" t="str">
        <f>IF(E10&gt;0,Y$14*IS,"")</f>
        <v/>
      </c>
      <c r="Z7" s="94"/>
      <c r="AA7" s="779" t="str">
        <f>IF(F$10&gt;0,AA$14*IS*U16,"")</f>
        <v/>
      </c>
      <c r="AB7" s="94"/>
      <c r="AC7" s="779" t="str">
        <f>IF(G$10&gt;0,AC$14*IS*V16,"")</f>
        <v/>
      </c>
      <c r="AD7" s="94"/>
    </row>
    <row r="8" spans="1:30" ht="17.25" customHeight="1" x14ac:dyDescent="0.35">
      <c r="A8" s="833"/>
      <c r="B8" s="46"/>
      <c r="C8" s="13" t="s">
        <v>998</v>
      </c>
      <c r="D8" s="156"/>
      <c r="E8" s="736"/>
      <c r="F8" s="736"/>
      <c r="G8" s="14"/>
      <c r="H8" s="917"/>
      <c r="I8" s="45"/>
      <c r="K8" s="175"/>
      <c r="L8" s="95"/>
      <c r="M8" s="95"/>
      <c r="N8" s="95"/>
      <c r="O8" s="776"/>
      <c r="P8" s="98" t="s">
        <v>1012</v>
      </c>
      <c r="Q8" s="774"/>
      <c r="R8" s="774"/>
      <c r="S8" s="774"/>
      <c r="T8" s="776">
        <v>0</v>
      </c>
      <c r="U8" s="776">
        <v>0</v>
      </c>
      <c r="V8" s="776"/>
      <c r="W8" s="525" t="s">
        <v>996</v>
      </c>
      <c r="X8" s="778"/>
      <c r="Y8" s="779" t="str">
        <f>IF(E$10&gt;0,(Y$15*E$10^(1/Y$16)*(E$6/E$10)*(1+$T$5+$O$7+$O$16+$T$16))*IS,"")</f>
        <v/>
      </c>
      <c r="Z8" s="771" t="e">
        <f>Y8/E6</f>
        <v>#VALUE!</v>
      </c>
      <c r="AA8" s="779" t="str">
        <f>IF(F$10&gt;0,(AA$15*F$10^(1/AA$16)*(F$6/F$10)*(1+$U$5+$O$7+$O$16))*$U$16*IS,"")</f>
        <v/>
      </c>
      <c r="AB8" s="771" t="e">
        <f>AA8/F6</f>
        <v>#VALUE!</v>
      </c>
      <c r="AC8" s="779"/>
      <c r="AD8" s="771"/>
    </row>
    <row r="9" spans="1:30" ht="17.25" customHeight="1" x14ac:dyDescent="0.35">
      <c r="A9" s="833"/>
      <c r="B9" s="46"/>
      <c r="C9" s="13" t="s">
        <v>999</v>
      </c>
      <c r="D9" s="68"/>
      <c r="E9" s="736"/>
      <c r="F9" s="14"/>
      <c r="G9" s="736"/>
      <c r="H9" s="917"/>
      <c r="I9" s="45"/>
      <c r="K9" s="175"/>
      <c r="L9" s="95"/>
      <c r="M9" s="95"/>
      <c r="N9" s="95"/>
      <c r="O9" s="776"/>
      <c r="P9" s="98" t="s">
        <v>1013</v>
      </c>
      <c r="Q9" s="774"/>
      <c r="R9" s="774"/>
      <c r="S9" s="774"/>
      <c r="T9" s="776">
        <v>0.75</v>
      </c>
      <c r="U9" s="776">
        <v>0.35</v>
      </c>
      <c r="V9" s="776"/>
      <c r="W9" s="525" t="s">
        <v>997</v>
      </c>
      <c r="X9" s="778"/>
      <c r="Y9" s="779" t="str">
        <f>IF(E$10&gt;0,(Y$15*E$10^(1/Y$16)*(E$7/E$10)*(1+T$6+O$7+O$16+T$16))*IS,"")</f>
        <v/>
      </c>
      <c r="Z9" s="771" t="e">
        <f>Y9/E7</f>
        <v>#VALUE!</v>
      </c>
      <c r="AA9" s="779" t="str">
        <f>IF(F$10&gt;0,(AA$15*F$10^(1/AA$16)*(F$7/F$10)*(1+$U$6+$O$7+$O$16))*$U$16*IS,"")</f>
        <v/>
      </c>
      <c r="AB9" s="771" t="e">
        <f>AA9/F7</f>
        <v>#VALUE!</v>
      </c>
      <c r="AC9" s="779" t="str">
        <f>IF(G$10&gt;0,(AC$15*G$10^(1/AC$16)*(G$7/G$10)*(1+$V$6+$O$7+$O$16))*$V$16*IS,"")</f>
        <v/>
      </c>
      <c r="AD9" s="771" t="e">
        <f>AC9/G7</f>
        <v>#VALUE!</v>
      </c>
    </row>
    <row r="10" spans="1:30" ht="17.25" customHeight="1" x14ac:dyDescent="0.35">
      <c r="A10" s="833"/>
      <c r="B10" s="46"/>
      <c r="C10" s="13" t="s">
        <v>862</v>
      </c>
      <c r="D10" s="68"/>
      <c r="E10" s="742">
        <f>SUM(E6:E9)</f>
        <v>0</v>
      </c>
      <c r="F10" s="742">
        <f>SUM(F6:F8)</f>
        <v>0</v>
      </c>
      <c r="G10" s="742">
        <f>SUM(G6,G7,G9)</f>
        <v>0</v>
      </c>
      <c r="H10" s="917"/>
      <c r="I10" s="45"/>
      <c r="K10" s="175" t="s">
        <v>1004</v>
      </c>
      <c r="L10" s="95"/>
      <c r="M10" s="95"/>
      <c r="N10" s="95"/>
      <c r="O10" s="775">
        <v>0</v>
      </c>
      <c r="P10" s="98" t="s">
        <v>1011</v>
      </c>
      <c r="Q10" s="774"/>
      <c r="R10" s="774"/>
      <c r="S10" s="774"/>
      <c r="T10" s="776">
        <v>0</v>
      </c>
      <c r="U10" s="776">
        <v>0</v>
      </c>
      <c r="V10" s="776"/>
      <c r="W10" s="525" t="s">
        <v>998</v>
      </c>
      <c r="X10" s="778"/>
      <c r="Y10" s="779" t="str">
        <f>IF(E$10&gt;0,(Y$15*E$10^(1/Y$16)*(E$8/E$10)*(1+T$11+O$7+O$16+T$16))*IS,"")</f>
        <v/>
      </c>
      <c r="Z10" s="771" t="e">
        <f>Y10/E8</f>
        <v>#VALUE!</v>
      </c>
      <c r="AA10" s="779" t="str">
        <f>IF(F$10&gt;0,(AA$15*F$10^(1/AA$16)*(F$8/F$10)*(1+$U$11+$O$7+$O$16))*$U$16*IS,"")</f>
        <v/>
      </c>
      <c r="AB10" s="771" t="e">
        <f>AA10/F8</f>
        <v>#VALUE!</v>
      </c>
      <c r="AC10" s="779"/>
      <c r="AD10" s="771"/>
    </row>
    <row r="11" spans="1:30" ht="17.25" customHeight="1" x14ac:dyDescent="0.35">
      <c r="A11" s="833"/>
      <c r="B11" s="46"/>
      <c r="C11" s="70"/>
      <c r="D11" s="156"/>
      <c r="E11" s="14"/>
      <c r="F11" s="14"/>
      <c r="G11" s="14"/>
      <c r="H11" s="14"/>
      <c r="I11" s="45"/>
      <c r="K11" s="175" t="s">
        <v>1005</v>
      </c>
      <c r="L11" s="95"/>
      <c r="M11" s="95"/>
      <c r="N11" s="95"/>
      <c r="O11" s="775">
        <v>0.1</v>
      </c>
      <c r="P11" s="98" t="s">
        <v>1035</v>
      </c>
      <c r="Q11" s="774"/>
      <c r="R11" s="774"/>
      <c r="S11" s="774"/>
      <c r="T11" s="776">
        <f>VLOOKUP(E16,P7:T10,5,FALSE)</f>
        <v>0</v>
      </c>
      <c r="U11" s="776">
        <f>VLOOKUP(E16,P7:U10,6,FALSE)</f>
        <v>0</v>
      </c>
      <c r="V11" s="776"/>
      <c r="W11" s="525" t="s">
        <v>999</v>
      </c>
      <c r="X11" s="777"/>
      <c r="Y11" s="779" t="str">
        <f>IF(E$10&gt;0,(Y$15*E$10^(1/Y$16)*(E$9/E$10)*(1+T$12+O$7+O$16+T$16))*IS,"")</f>
        <v/>
      </c>
      <c r="Z11" s="771" t="e">
        <f>Y11/E9</f>
        <v>#VALUE!</v>
      </c>
      <c r="AA11" s="779"/>
      <c r="AB11" s="94"/>
      <c r="AC11" s="779" t="str">
        <f>IF(G$10&gt;0,(AC$15*G$10^(1/AC$16)*(G$9/G$10)*(1+$V$12+$O$7+$O$16))*$V$16*IS,"")</f>
        <v/>
      </c>
      <c r="AD11" s="771" t="e">
        <f>AC11/G9</f>
        <v>#VALUE!</v>
      </c>
    </row>
    <row r="12" spans="1:30" ht="17.25" customHeight="1" x14ac:dyDescent="0.35">
      <c r="A12" s="833"/>
      <c r="B12" s="46"/>
      <c r="C12" s="70"/>
      <c r="D12" s="156"/>
      <c r="E12" s="739" t="str">
        <f>IF(OR(E14=K14,E14=K15),"Denkmalschutz!","")</f>
        <v/>
      </c>
      <c r="F12" s="14"/>
      <c r="G12" s="14"/>
      <c r="H12" s="14"/>
      <c r="I12" s="45"/>
      <c r="K12" s="175" t="s">
        <v>1006</v>
      </c>
      <c r="L12" s="95"/>
      <c r="M12" s="95"/>
      <c r="N12" s="95"/>
      <c r="O12" s="775">
        <v>0.2</v>
      </c>
      <c r="P12" s="98" t="s">
        <v>999</v>
      </c>
      <c r="Q12" s="774"/>
      <c r="R12" s="774"/>
      <c r="S12" s="774"/>
      <c r="T12" s="776">
        <v>-0.5</v>
      </c>
      <c r="U12" s="776"/>
      <c r="V12" s="776">
        <v>-0.3</v>
      </c>
      <c r="W12" s="525" t="s">
        <v>747</v>
      </c>
      <c r="X12" s="777"/>
      <c r="Y12" s="779">
        <f>SUM(Y7:Y11)</f>
        <v>0</v>
      </c>
      <c r="Z12" s="779"/>
      <c r="AA12" s="779">
        <f>SUM(AA7:AA11)</f>
        <v>0</v>
      </c>
      <c r="AB12" s="779"/>
      <c r="AC12" s="779">
        <f>SUM(AC7:AC11)</f>
        <v>0</v>
      </c>
      <c r="AD12" s="779"/>
    </row>
    <row r="13" spans="1:30" ht="19.5" customHeight="1" x14ac:dyDescent="0.35">
      <c r="A13" s="833"/>
      <c r="B13" s="46"/>
      <c r="C13" s="13" t="s">
        <v>1017</v>
      </c>
      <c r="D13" s="156"/>
      <c r="E13" s="918" t="s">
        <v>1003</v>
      </c>
      <c r="F13" s="918"/>
      <c r="G13" s="918"/>
      <c r="H13" s="919"/>
      <c r="I13" s="45"/>
      <c r="K13" s="175" t="s">
        <v>1007</v>
      </c>
      <c r="L13" s="95"/>
      <c r="M13" s="95"/>
      <c r="N13" s="95"/>
      <c r="O13" s="775">
        <v>0.3</v>
      </c>
      <c r="P13" s="98" t="s">
        <v>139</v>
      </c>
      <c r="Q13" s="774"/>
      <c r="R13" s="774"/>
      <c r="S13" s="774"/>
      <c r="T13" s="776">
        <v>0</v>
      </c>
      <c r="U13" s="776">
        <v>1</v>
      </c>
      <c r="V13" s="776">
        <v>1</v>
      </c>
      <c r="W13" s="94"/>
      <c r="X13" s="94"/>
      <c r="Y13" s="809" t="str">
        <f>IF(E10&gt;0,Y12/E10,"")</f>
        <v/>
      </c>
      <c r="Z13" s="94"/>
      <c r="AA13" s="809" t="str">
        <f>IF(F$10&gt;0,AA12/F10,"")</f>
        <v/>
      </c>
      <c r="AB13" s="94"/>
      <c r="AC13" s="809" t="str">
        <f>IF(G$10&gt;0,AC12/G10,"")</f>
        <v/>
      </c>
      <c r="AD13" s="771" t="str">
        <f>IF(I$10&gt;0,AD12/I10,"")</f>
        <v/>
      </c>
    </row>
    <row r="14" spans="1:30" s="2" customFormat="1" ht="20.149999999999999" customHeight="1" x14ac:dyDescent="0.35">
      <c r="A14" s="833"/>
      <c r="B14" s="46"/>
      <c r="C14" s="13" t="s">
        <v>1016</v>
      </c>
      <c r="D14" s="156"/>
      <c r="E14" s="908" t="s">
        <v>1004</v>
      </c>
      <c r="F14" s="908"/>
      <c r="G14" s="908"/>
      <c r="H14" s="888"/>
      <c r="I14" s="47"/>
      <c r="J14" s="18"/>
      <c r="K14" s="175" t="s">
        <v>1008</v>
      </c>
      <c r="L14" s="95"/>
      <c r="M14" s="95"/>
      <c r="N14" s="95"/>
      <c r="O14" s="775">
        <v>0.5</v>
      </c>
      <c r="P14" s="98" t="s">
        <v>1014</v>
      </c>
      <c r="Q14" s="774"/>
      <c r="R14" s="774"/>
      <c r="S14" s="774"/>
      <c r="T14" s="776">
        <v>0.6</v>
      </c>
      <c r="U14" s="776">
        <v>0</v>
      </c>
      <c r="V14" s="776">
        <v>0</v>
      </c>
      <c r="W14" s="98" t="s">
        <v>987</v>
      </c>
      <c r="X14" s="94"/>
      <c r="Y14" s="98">
        <v>4</v>
      </c>
      <c r="Z14" s="94"/>
      <c r="AA14" s="98">
        <v>2</v>
      </c>
      <c r="AB14" s="94"/>
      <c r="AC14" s="98">
        <v>2</v>
      </c>
      <c r="AD14" s="98"/>
    </row>
    <row r="15" spans="1:30" s="2" customFormat="1" ht="20.149999999999999" customHeight="1" x14ac:dyDescent="0.35">
      <c r="A15" s="833"/>
      <c r="B15" s="46"/>
      <c r="C15" s="46"/>
      <c r="D15" s="46"/>
      <c r="E15" s="51"/>
      <c r="F15" s="46"/>
      <c r="G15" s="46"/>
      <c r="H15" s="46"/>
      <c r="I15" s="46"/>
      <c r="J15" s="19"/>
      <c r="K15" s="175" t="s">
        <v>1009</v>
      </c>
      <c r="L15" s="95"/>
      <c r="M15" s="95"/>
      <c r="N15" s="95"/>
      <c r="O15" s="775">
        <v>0.6</v>
      </c>
      <c r="P15" s="98" t="s">
        <v>1056</v>
      </c>
      <c r="Q15" s="774"/>
      <c r="R15" s="774"/>
      <c r="S15" s="774"/>
      <c r="T15" s="776">
        <v>0.8</v>
      </c>
      <c r="U15" s="776">
        <v>0.3</v>
      </c>
      <c r="V15" s="776">
        <v>0.3</v>
      </c>
      <c r="W15" s="98" t="s">
        <v>989</v>
      </c>
      <c r="X15" s="94"/>
      <c r="Y15" s="98">
        <v>3.4000000000000002E-2</v>
      </c>
      <c r="Z15" s="94"/>
      <c r="AA15" s="98">
        <v>2.4E-2</v>
      </c>
      <c r="AB15" s="98"/>
      <c r="AC15" s="98">
        <v>0.02</v>
      </c>
      <c r="AD15" s="98"/>
    </row>
    <row r="16" spans="1:30" s="2" customFormat="1" ht="20.149999999999999" customHeight="1" x14ac:dyDescent="0.35">
      <c r="A16" s="833"/>
      <c r="B16" s="46"/>
      <c r="C16" s="13" t="s">
        <v>1028</v>
      </c>
      <c r="D16" s="156"/>
      <c r="E16" s="920" t="s">
        <v>1012</v>
      </c>
      <c r="F16" s="920"/>
      <c r="G16" s="920"/>
      <c r="H16" s="921"/>
      <c r="I16" s="46"/>
      <c r="J16" s="19"/>
      <c r="K16" s="98" t="s">
        <v>1023</v>
      </c>
      <c r="L16" s="774"/>
      <c r="M16" s="774"/>
      <c r="N16" s="774"/>
      <c r="O16" s="776">
        <f>VLOOKUP(E14,K10:O15,5,FALSE)</f>
        <v>0</v>
      </c>
      <c r="P16" s="98" t="s">
        <v>1024</v>
      </c>
      <c r="Q16" s="774"/>
      <c r="R16" s="774"/>
      <c r="S16" s="774"/>
      <c r="T16" s="776">
        <f>VLOOKUP(E18,P13:T15,5,FALSE)</f>
        <v>0</v>
      </c>
      <c r="U16" s="776">
        <f>VLOOKUP(E18,P13:U15,6,FALSE)</f>
        <v>1</v>
      </c>
      <c r="V16" s="776">
        <f>VLOOKUP(E18,P13:V15,7,FALSE)</f>
        <v>1</v>
      </c>
      <c r="W16" s="98" t="s">
        <v>988</v>
      </c>
      <c r="X16" s="94"/>
      <c r="Y16" s="98">
        <v>1.02</v>
      </c>
      <c r="Z16" s="98"/>
      <c r="AA16" s="98">
        <v>1.02</v>
      </c>
      <c r="AB16" s="98"/>
      <c r="AC16" s="98">
        <v>1.02</v>
      </c>
      <c r="AD16" s="98"/>
    </row>
    <row r="17" spans="1:30" s="2" customFormat="1" ht="20.149999999999999" customHeight="1" x14ac:dyDescent="0.35">
      <c r="A17" s="833"/>
      <c r="B17" s="46"/>
      <c r="C17" s="137"/>
      <c r="D17" s="143"/>
      <c r="E17" s="14"/>
      <c r="F17" s="14"/>
      <c r="G17" s="14"/>
      <c r="H17" s="14"/>
      <c r="I17" s="46"/>
      <c r="J17" s="19"/>
      <c r="K17" s="98"/>
      <c r="L17" s="98"/>
      <c r="M17" s="93"/>
      <c r="N17" s="98"/>
      <c r="O17" s="98"/>
      <c r="P17" s="98"/>
      <c r="Q17" s="98"/>
      <c r="R17" s="98"/>
      <c r="S17" s="98"/>
      <c r="T17" s="98"/>
      <c r="U17" s="94"/>
      <c r="V17" s="94"/>
      <c r="W17" s="94"/>
      <c r="X17" s="641"/>
      <c r="Y17" s="98"/>
      <c r="Z17" s="98"/>
      <c r="AA17" s="98"/>
      <c r="AB17" s="98"/>
      <c r="AC17" s="98"/>
      <c r="AD17" s="98"/>
    </row>
    <row r="18" spans="1:30" s="2" customFormat="1" ht="20.149999999999999" customHeight="1" x14ac:dyDescent="0.35">
      <c r="A18" s="833"/>
      <c r="B18" s="46"/>
      <c r="C18" s="13" t="s">
        <v>1015</v>
      </c>
      <c r="D18" s="156"/>
      <c r="E18" s="908" t="s">
        <v>139</v>
      </c>
      <c r="F18" s="908"/>
      <c r="G18" s="908"/>
      <c r="H18" s="888"/>
      <c r="I18" s="47"/>
      <c r="J18" s="19"/>
      <c r="K18" s="98"/>
      <c r="L18" s="98"/>
      <c r="M18" s="98"/>
      <c r="N18" s="98"/>
      <c r="O18" s="98"/>
      <c r="P18" s="98"/>
      <c r="Q18" s="98"/>
      <c r="R18" s="98"/>
      <c r="S18" s="98"/>
      <c r="T18" s="98"/>
      <c r="U18" s="94"/>
      <c r="V18" s="94"/>
      <c r="W18" s="94"/>
      <c r="X18" s="641"/>
      <c r="Y18" s="98"/>
      <c r="Z18" s="98"/>
      <c r="AA18" s="98"/>
      <c r="AB18" s="98"/>
      <c r="AC18" s="98"/>
      <c r="AD18" s="98"/>
    </row>
    <row r="19" spans="1:30" s="2" customFormat="1" ht="20.149999999999999" customHeight="1" x14ac:dyDescent="0.35">
      <c r="A19" s="833"/>
      <c r="B19" s="45"/>
      <c r="C19" s="746"/>
      <c r="D19" s="747"/>
      <c r="E19" s="745"/>
      <c r="F19" s="14"/>
      <c r="G19" s="14"/>
      <c r="H19" s="14"/>
      <c r="I19" s="47"/>
      <c r="J19" s="19"/>
      <c r="K19" s="153"/>
      <c r="L19" s="716"/>
      <c r="M19" s="717"/>
      <c r="N19" s="717"/>
      <c r="O19" s="733"/>
      <c r="P19" s="98"/>
      <c r="R19" s="98"/>
      <c r="S19" s="716"/>
      <c r="T19" s="717"/>
      <c r="U19" s="717"/>
      <c r="V19" s="733"/>
      <c r="W19" s="98"/>
      <c r="X19" s="420"/>
    </row>
    <row r="20" spans="1:30" s="2" customFormat="1" ht="20.149999999999999" customHeight="1" x14ac:dyDescent="0.35">
      <c r="A20" s="833"/>
      <c r="B20" s="46"/>
      <c r="C20" s="748" t="str">
        <f>IF(AND(SUM(F10:G10)&gt;0,E18=P14),"Schnitt- und Ansichtsflächen werden nicht berücksichtigt!","")</f>
        <v/>
      </c>
      <c r="D20" s="143"/>
      <c r="E20" s="14"/>
      <c r="F20" s="14"/>
      <c r="G20" s="14"/>
      <c r="H20" s="14"/>
      <c r="I20" s="47"/>
      <c r="J20" s="19"/>
      <c r="N20" s="717"/>
      <c r="O20" s="733"/>
      <c r="P20" s="98"/>
      <c r="U20" s="717"/>
      <c r="V20" s="733"/>
      <c r="W20" s="98"/>
      <c r="X20" s="420"/>
    </row>
    <row r="21" spans="1:30" s="2" customFormat="1" ht="20.149999999999999" customHeight="1" x14ac:dyDescent="0.35">
      <c r="A21" s="833"/>
      <c r="B21" s="46"/>
      <c r="C21" s="47"/>
      <c r="D21" s="47"/>
      <c r="E21" s="53"/>
      <c r="F21" s="47"/>
      <c r="G21" s="592" t="s">
        <v>633</v>
      </c>
      <c r="H21" s="46"/>
      <c r="I21" s="154"/>
      <c r="J21" s="19"/>
      <c r="L21" s="716"/>
      <c r="M21" s="718"/>
      <c r="N21" s="721"/>
      <c r="O21" s="733"/>
      <c r="R21" s="716"/>
      <c r="S21" s="716"/>
      <c r="T21" s="716"/>
      <c r="U21" s="716"/>
      <c r="V21" s="740"/>
      <c r="W21" s="721"/>
      <c r="X21" s="740"/>
      <c r="Y21" s="721"/>
      <c r="Z21" s="740"/>
      <c r="AA21" s="721"/>
      <c r="AB21" s="741"/>
      <c r="AC21" s="721"/>
    </row>
    <row r="22" spans="1:30" s="2" customFormat="1" ht="20.149999999999999" customHeight="1" x14ac:dyDescent="0.35">
      <c r="A22" s="833"/>
      <c r="B22" s="46"/>
      <c r="C22" s="47" t="s">
        <v>34</v>
      </c>
      <c r="D22" s="47"/>
      <c r="E22" s="320"/>
      <c r="F22" s="47"/>
      <c r="G22" s="868"/>
      <c r="H22" s="869"/>
      <c r="I22" s="154"/>
      <c r="J22" s="19"/>
      <c r="K22" s="98"/>
      <c r="L22" s="720"/>
      <c r="M22" s="722"/>
      <c r="N22" s="721"/>
      <c r="O22" s="721"/>
      <c r="P22" s="719"/>
      <c r="R22" s="720"/>
      <c r="S22" s="720"/>
      <c r="T22" s="720"/>
      <c r="U22" s="720"/>
      <c r="V22" s="722"/>
      <c r="W22" s="721"/>
      <c r="X22" s="722"/>
      <c r="Y22" s="721"/>
      <c r="Z22" s="722"/>
      <c r="AA22" s="721"/>
      <c r="AB22" s="722"/>
      <c r="AC22" s="721"/>
    </row>
    <row r="23" spans="1:30" s="2" customFormat="1" ht="20.149999999999999" customHeight="1" x14ac:dyDescent="0.35">
      <c r="A23" s="833"/>
      <c r="B23" s="46"/>
      <c r="C23" s="47" t="s">
        <v>1</v>
      </c>
      <c r="D23" s="47"/>
      <c r="E23" s="321"/>
      <c r="F23" s="47"/>
      <c r="G23" s="867"/>
      <c r="H23" s="867"/>
      <c r="I23" s="154"/>
      <c r="J23" s="19"/>
      <c r="K23" s="98"/>
      <c r="L23" s="720"/>
      <c r="M23" s="722"/>
      <c r="N23" s="721"/>
      <c r="O23" s="721"/>
      <c r="P23" s="719"/>
      <c r="R23" s="720"/>
      <c r="S23" s="720"/>
      <c r="T23" s="720"/>
      <c r="U23" s="720"/>
      <c r="V23" s="722"/>
      <c r="W23" s="721"/>
      <c r="X23" s="722"/>
      <c r="Y23" s="721"/>
      <c r="Z23" s="722"/>
      <c r="AA23" s="721"/>
      <c r="AB23" s="722"/>
      <c r="AC23" s="721"/>
    </row>
    <row r="24" spans="1:30" s="2" customFormat="1" ht="20.149999999999999" customHeight="1" x14ac:dyDescent="0.35">
      <c r="A24" s="833"/>
      <c r="B24" s="46"/>
      <c r="C24" s="46"/>
      <c r="D24" s="139"/>
      <c r="E24" s="139"/>
      <c r="F24" s="139"/>
      <c r="G24" s="139"/>
      <c r="H24" s="140"/>
      <c r="I24" s="45"/>
      <c r="J24" s="19"/>
      <c r="K24" s="96"/>
      <c r="L24" s="730"/>
      <c r="M24" s="731"/>
      <c r="N24" s="721"/>
      <c r="O24" s="721"/>
      <c r="P24" s="719"/>
      <c r="R24" s="730"/>
      <c r="S24" s="730"/>
      <c r="T24" s="730"/>
      <c r="U24" s="730"/>
      <c r="V24" s="722"/>
      <c r="W24" s="721"/>
      <c r="X24" s="722"/>
      <c r="Y24" s="721"/>
      <c r="Z24" s="722"/>
      <c r="AA24" s="721"/>
      <c r="AB24" s="722"/>
      <c r="AC24" s="721"/>
    </row>
    <row r="25" spans="1:30" ht="19.5" customHeight="1" x14ac:dyDescent="0.5">
      <c r="A25" s="833"/>
      <c r="B25" s="45"/>
      <c r="C25" s="54" t="str">
        <f>IF(F25=0, "UNVOLLSTÄNDIG AUSGEFÜLLT!","")</f>
        <v>UNVOLLSTÄNDIG AUSGEFÜLLT!</v>
      </c>
      <c r="D25" s="45"/>
      <c r="E25" s="45"/>
      <c r="F25" s="451">
        <f>IF(E10&gt;0,1,0)</f>
        <v>0</v>
      </c>
      <c r="G25" s="852" t="str">
        <f>IF(F25&lt;&gt;0, G69,"")</f>
        <v/>
      </c>
      <c r="H25" s="852"/>
      <c r="I25" s="45"/>
      <c r="L25" s="720"/>
      <c r="M25" s="722"/>
      <c r="N25" s="721"/>
      <c r="O25" s="721"/>
      <c r="P25" s="719"/>
      <c r="R25" s="720"/>
      <c r="S25" s="720"/>
      <c r="T25" s="720"/>
      <c r="U25" s="720"/>
      <c r="V25" s="722"/>
      <c r="W25" s="721"/>
      <c r="X25" s="722"/>
      <c r="Y25" s="721"/>
      <c r="Z25" s="722"/>
      <c r="AA25" s="721"/>
      <c r="AB25" s="722"/>
      <c r="AC25" s="721"/>
    </row>
    <row r="26" spans="1:30" ht="19.5" customHeight="1" x14ac:dyDescent="0.35">
      <c r="A26" s="833"/>
      <c r="B26" s="45"/>
      <c r="C26" s="45"/>
      <c r="D26" s="45"/>
      <c r="E26" s="45"/>
      <c r="F26" s="45"/>
      <c r="G26" s="45"/>
      <c r="H26" s="45"/>
      <c r="I26" s="45"/>
      <c r="L26" s="720"/>
      <c r="M26" s="722"/>
      <c r="N26" s="721"/>
      <c r="O26" s="721"/>
      <c r="P26" s="719"/>
      <c r="R26" s="720"/>
      <c r="S26" s="720"/>
      <c r="T26" s="720"/>
      <c r="U26" s="720"/>
      <c r="V26" s="722"/>
      <c r="W26" s="721"/>
      <c r="X26" s="722"/>
      <c r="Y26" s="721"/>
      <c r="Z26" s="722"/>
      <c r="AA26" s="721"/>
      <c r="AB26" s="722"/>
      <c r="AC26" s="721"/>
    </row>
    <row r="27" spans="1:30" ht="15.5" x14ac:dyDescent="0.35">
      <c r="A27" s="830" t="s">
        <v>66</v>
      </c>
      <c r="I27" s="577" t="str">
        <f ca="1">IF(VLOOKUP(B33,CHOOSE({5,4,3,2,1},Gesamt!L32:L65,Gesamt!M32:M65,Gesamt!N32:N65,Gesamt!O32:O65,Gesamt!P32:P65,),4,0)&gt;0,CONCATENATE("Pos. ",VLOOKUP(B33,CHOOSE({5,4,3,2,1},Gesamt!L32:L65,Gesamt!M32:M65,Gesamt!N32:N65,Gesamt!O32:O65,Gesamt!P32:P65,),VLOOKUP(Gesamt!C19,Gesamt!L5:N7,3,0),0)),"")</f>
        <v/>
      </c>
      <c r="L27" s="720"/>
      <c r="M27" s="722"/>
      <c r="N27" s="721"/>
      <c r="O27" s="721"/>
      <c r="P27" s="719"/>
      <c r="R27" s="720"/>
      <c r="S27" s="720"/>
      <c r="T27" s="720"/>
      <c r="U27" s="720"/>
      <c r="V27" s="722"/>
      <c r="W27" s="721"/>
      <c r="X27" s="722"/>
      <c r="Y27" s="721"/>
      <c r="Z27" s="722"/>
      <c r="AA27" s="721"/>
      <c r="AB27" s="722"/>
      <c r="AC27" s="721"/>
    </row>
    <row r="28" spans="1:30" x14ac:dyDescent="0.35">
      <c r="A28" s="830"/>
      <c r="B28" s="831" t="str">
        <f>CONCATENATE(Gesamt!C2, ": ", Gesamt!E2)</f>
        <v xml:space="preserve">Projekt: </v>
      </c>
      <c r="C28" s="831"/>
      <c r="D28" s="831"/>
      <c r="E28" s="831"/>
      <c r="F28" s="831"/>
      <c r="G28" s="831"/>
      <c r="H28" s="831"/>
      <c r="I28" s="831"/>
      <c r="L28" s="720"/>
      <c r="M28" s="722"/>
      <c r="N28" s="721"/>
      <c r="O28" s="721"/>
      <c r="P28" s="719"/>
      <c r="R28" s="720"/>
      <c r="S28" s="720"/>
      <c r="T28" s="720"/>
      <c r="U28" s="720"/>
      <c r="V28" s="722"/>
      <c r="W28" s="721"/>
      <c r="X28" s="722"/>
      <c r="Y28" s="721"/>
      <c r="Z28" s="722"/>
      <c r="AA28" s="721"/>
      <c r="AB28" s="722"/>
      <c r="AC28" s="721"/>
    </row>
    <row r="29" spans="1:30" x14ac:dyDescent="0.35">
      <c r="A29" s="830"/>
      <c r="B29" s="832" t="str">
        <f>CONCATENATE(Gesamt!C4, ": ", Gesamt!E4, IF(Gesamt!E5&lt;&gt;""," - ",""), IF(Gesamt!E5&lt;&gt;"",Gesamt!E5,""), IF(Gesamt!E6&lt;&gt;""," - GZ. ",""), IF(Gesamt!E6&lt;&gt;"",Gesamt!E6,""),)</f>
        <v xml:space="preserve">Auftraggeber: </v>
      </c>
      <c r="C29" s="832"/>
      <c r="D29" s="832"/>
      <c r="E29" s="832"/>
      <c r="F29" s="832"/>
      <c r="G29" s="832"/>
      <c r="H29" s="832"/>
      <c r="I29" s="832"/>
      <c r="L29" s="720"/>
      <c r="M29" s="722"/>
      <c r="N29" s="721"/>
      <c r="O29" s="721"/>
      <c r="P29" s="719"/>
      <c r="R29" s="720"/>
      <c r="S29" s="720"/>
      <c r="T29" s="720"/>
      <c r="U29" s="720"/>
      <c r="V29" s="722"/>
      <c r="W29" s="721"/>
      <c r="X29" s="722"/>
      <c r="Y29" s="721"/>
      <c r="Z29" s="722"/>
      <c r="AA29" s="721"/>
      <c r="AB29" s="722"/>
      <c r="AC29" s="721"/>
    </row>
    <row r="30" spans="1:30" x14ac:dyDescent="0.35">
      <c r="A30" s="830"/>
      <c r="B30" s="832" t="str">
        <f>CONCATENATE(Gesamt!C9, ": ",Gesamt!E9,  IF(Gesamt!C10&lt;&gt;""," - ",""), IF(Gesamt!C10&lt;&gt;"",Gesamt!E10,""), IF(Gesamt!C11&lt;&gt;""," - GZ. ",""), IF(Gesamt!C11&lt;&gt;"",Gesamt!E11,""), )</f>
        <v xml:space="preserve">Bieter:  -  - GZ. </v>
      </c>
      <c r="C30" s="832"/>
      <c r="D30" s="832"/>
      <c r="E30" s="832"/>
      <c r="F30" s="832"/>
      <c r="G30" s="832"/>
      <c r="H30" s="832"/>
      <c r="I30" s="832"/>
      <c r="L30" s="720"/>
      <c r="M30" s="722"/>
      <c r="N30" s="721"/>
      <c r="O30" s="721"/>
      <c r="P30" s="719"/>
      <c r="R30" s="720"/>
      <c r="S30" s="720"/>
      <c r="T30" s="720"/>
      <c r="U30" s="720"/>
      <c r="V30" s="722"/>
      <c r="W30" s="721"/>
      <c r="X30" s="722"/>
      <c r="Y30" s="721"/>
      <c r="Z30" s="722"/>
      <c r="AA30" s="721"/>
      <c r="AB30" s="722"/>
      <c r="AC30" s="721"/>
    </row>
    <row r="31" spans="1:30" x14ac:dyDescent="0.35">
      <c r="A31" s="830"/>
      <c r="B31" s="832" t="s">
        <v>41</v>
      </c>
      <c r="C31" s="832"/>
      <c r="D31" s="832"/>
      <c r="E31" s="832"/>
      <c r="F31" s="832"/>
      <c r="G31" s="832"/>
      <c r="H31" s="832"/>
      <c r="I31" s="832"/>
      <c r="L31" s="720"/>
      <c r="M31" s="722"/>
      <c r="N31" s="721"/>
      <c r="O31" s="721"/>
      <c r="P31" s="719"/>
      <c r="R31" s="720"/>
      <c r="S31" s="720"/>
      <c r="T31" s="720"/>
      <c r="U31" s="720"/>
      <c r="V31" s="722"/>
      <c r="W31" s="721"/>
      <c r="X31" s="722"/>
      <c r="Y31" s="721"/>
      <c r="Z31" s="722"/>
      <c r="AA31" s="721"/>
      <c r="AB31" s="722"/>
      <c r="AC31" s="721"/>
    </row>
    <row r="32" spans="1:30" x14ac:dyDescent="0.35">
      <c r="A32" s="830"/>
      <c r="L32" s="720"/>
      <c r="M32" s="722"/>
      <c r="N32" s="721"/>
      <c r="O32" s="721"/>
      <c r="P32" s="719"/>
      <c r="R32" s="720"/>
      <c r="S32" s="720"/>
      <c r="T32" s="720"/>
      <c r="U32" s="720"/>
      <c r="V32" s="722"/>
      <c r="W32" s="721"/>
      <c r="X32" s="722"/>
      <c r="Y32" s="721"/>
      <c r="Z32" s="722"/>
      <c r="AA32" s="721"/>
      <c r="AB32" s="722"/>
      <c r="AC32" s="721"/>
    </row>
    <row r="33" spans="1:29" s="9" customFormat="1" ht="23.25" customHeight="1" x14ac:dyDescent="0.35">
      <c r="A33" s="830"/>
      <c r="B33" s="843" t="str">
        <f>CONCATENATE(D2)</f>
        <v>Herstellung von Baubestandsplänen</v>
      </c>
      <c r="C33" s="843"/>
      <c r="D33" s="843"/>
      <c r="E33" s="843"/>
      <c r="F33" s="843"/>
      <c r="G33" s="843"/>
      <c r="H33" s="843"/>
      <c r="I33" s="843"/>
      <c r="J33" s="20"/>
      <c r="K33" s="101"/>
      <c r="L33" s="720"/>
      <c r="M33" s="722"/>
      <c r="N33" s="721"/>
      <c r="O33" s="721"/>
      <c r="P33" s="719"/>
      <c r="R33" s="720"/>
      <c r="S33" s="720"/>
      <c r="T33" s="720"/>
      <c r="U33" s="720"/>
      <c r="V33" s="722"/>
      <c r="W33" s="721"/>
      <c r="X33" s="722"/>
      <c r="Y33" s="721"/>
      <c r="Z33" s="722"/>
      <c r="AA33" s="721"/>
      <c r="AB33" s="722"/>
      <c r="AC33" s="721"/>
    </row>
    <row r="34" spans="1:29" x14ac:dyDescent="0.35">
      <c r="A34" s="830"/>
      <c r="L34" s="720"/>
      <c r="M34" s="722"/>
      <c r="N34" s="721"/>
      <c r="O34" s="721"/>
      <c r="P34" s="719"/>
      <c r="R34" s="720"/>
      <c r="S34" s="720"/>
      <c r="T34" s="720"/>
      <c r="U34" s="720"/>
      <c r="V34" s="722"/>
      <c r="W34" s="721"/>
      <c r="X34" s="722"/>
      <c r="Y34" s="721"/>
      <c r="Z34" s="722"/>
      <c r="AA34" s="721"/>
      <c r="AB34" s="722"/>
      <c r="AC34" s="721"/>
    </row>
    <row r="35" spans="1:29" x14ac:dyDescent="0.35">
      <c r="A35" s="830"/>
      <c r="C35" t="s">
        <v>692</v>
      </c>
      <c r="L35" s="730"/>
      <c r="M35" s="731"/>
      <c r="N35" s="721"/>
      <c r="O35" s="721"/>
      <c r="P35" s="719"/>
      <c r="R35" s="730"/>
      <c r="S35" s="730"/>
      <c r="T35" s="730"/>
      <c r="U35" s="730"/>
      <c r="V35" s="722"/>
      <c r="W35" s="721"/>
      <c r="X35" s="722"/>
      <c r="Y35" s="721"/>
      <c r="Z35" s="722"/>
      <c r="AA35" s="721"/>
      <c r="AB35" s="722"/>
      <c r="AC35" s="721"/>
    </row>
    <row r="36" spans="1:29" x14ac:dyDescent="0.35">
      <c r="A36" s="830"/>
      <c r="L36" s="720"/>
      <c r="M36" s="722"/>
      <c r="N36" s="721"/>
      <c r="O36" s="721"/>
      <c r="P36" s="719"/>
      <c r="R36" s="720"/>
      <c r="S36" s="720"/>
      <c r="T36" s="720"/>
      <c r="U36" s="720"/>
      <c r="V36" s="722"/>
      <c r="W36" s="721"/>
      <c r="X36" s="722"/>
      <c r="Y36" s="721"/>
      <c r="Z36" s="722"/>
      <c r="AA36" s="721"/>
      <c r="AB36" s="722"/>
      <c r="AC36" s="721"/>
    </row>
    <row r="37" spans="1:29" x14ac:dyDescent="0.35">
      <c r="A37" s="830"/>
      <c r="C37" t="s">
        <v>959</v>
      </c>
      <c r="E37" s="118">
        <f>IS</f>
        <v>0</v>
      </c>
      <c r="L37" s="720"/>
      <c r="M37" s="722"/>
      <c r="N37" s="721"/>
      <c r="O37" s="721"/>
      <c r="P37" s="719"/>
      <c r="R37" s="720"/>
      <c r="S37" s="720"/>
      <c r="T37" s="720"/>
      <c r="U37" s="720"/>
      <c r="V37" s="722"/>
      <c r="W37" s="721"/>
      <c r="X37" s="722"/>
      <c r="Y37" s="721"/>
      <c r="Z37" s="722"/>
      <c r="AA37" s="721"/>
      <c r="AB37" s="722"/>
      <c r="AC37" s="721"/>
    </row>
    <row r="38" spans="1:29" x14ac:dyDescent="0.35">
      <c r="A38" s="830"/>
      <c r="E38" s="118"/>
      <c r="L38" s="720"/>
      <c r="M38" s="722"/>
      <c r="N38" s="721"/>
      <c r="O38" s="721"/>
      <c r="P38" s="719"/>
      <c r="R38" s="720"/>
      <c r="S38" s="720"/>
      <c r="T38" s="720"/>
      <c r="U38" s="720"/>
      <c r="V38" s="722"/>
      <c r="W38" s="721"/>
      <c r="X38" s="722"/>
      <c r="Y38" s="721"/>
      <c r="Z38" s="722"/>
      <c r="AA38" s="721"/>
      <c r="AB38" s="722"/>
      <c r="AC38" s="721"/>
    </row>
    <row r="39" spans="1:29" ht="16.5" x14ac:dyDescent="0.45">
      <c r="A39" s="830"/>
      <c r="C39" t="s">
        <v>1032</v>
      </c>
      <c r="D39" t="s">
        <v>1043</v>
      </c>
      <c r="E39" s="118"/>
      <c r="L39" s="720"/>
      <c r="M39" s="722"/>
      <c r="N39" s="721"/>
      <c r="O39" s="721"/>
      <c r="P39" s="719"/>
      <c r="R39" s="720"/>
      <c r="S39" s="720"/>
      <c r="T39" s="720"/>
      <c r="U39" s="720"/>
      <c r="V39" s="722"/>
      <c r="W39" s="721"/>
      <c r="X39" s="722"/>
      <c r="Y39" s="721"/>
      <c r="Z39" s="722"/>
      <c r="AA39" s="721"/>
      <c r="AB39" s="722"/>
      <c r="AC39" s="721"/>
    </row>
    <row r="40" spans="1:29" ht="16.5" x14ac:dyDescent="0.45">
      <c r="A40" s="830"/>
      <c r="C40" t="s">
        <v>996</v>
      </c>
      <c r="D40" t="s">
        <v>1044</v>
      </c>
      <c r="L40" s="720"/>
      <c r="M40" s="722"/>
      <c r="N40" s="721"/>
      <c r="O40" s="721"/>
      <c r="P40" s="719"/>
      <c r="R40" s="720"/>
      <c r="S40" s="720"/>
      <c r="T40" s="720"/>
      <c r="U40" s="720"/>
      <c r="V40" s="722"/>
      <c r="W40" s="721"/>
      <c r="X40" s="722"/>
      <c r="Y40" s="721"/>
      <c r="Z40" s="722"/>
      <c r="AA40" s="721"/>
      <c r="AB40" s="722"/>
      <c r="AC40" s="721"/>
    </row>
    <row r="41" spans="1:29" ht="16.5" x14ac:dyDescent="0.45">
      <c r="A41" s="830"/>
      <c r="C41" t="s">
        <v>1033</v>
      </c>
      <c r="D41" t="s">
        <v>1045</v>
      </c>
      <c r="L41" s="720"/>
      <c r="M41" s="722"/>
      <c r="N41" s="721"/>
      <c r="O41" s="721"/>
      <c r="P41" s="719"/>
      <c r="R41" s="720"/>
      <c r="S41" s="720"/>
      <c r="T41" s="720"/>
      <c r="U41" s="720"/>
      <c r="V41" s="722"/>
      <c r="W41" s="721"/>
      <c r="X41" s="722"/>
      <c r="Y41" s="721"/>
      <c r="Z41" s="722"/>
      <c r="AA41" s="721"/>
      <c r="AB41" s="722"/>
      <c r="AC41" s="721"/>
    </row>
    <row r="42" spans="1:29" ht="16.5" x14ac:dyDescent="0.45">
      <c r="A42" s="830"/>
      <c r="C42" s="134" t="s">
        <v>998</v>
      </c>
      <c r="D42" t="s">
        <v>1046</v>
      </c>
      <c r="L42" s="720"/>
      <c r="M42" s="722"/>
      <c r="N42" s="721"/>
      <c r="O42" s="721"/>
      <c r="P42" s="719"/>
      <c r="R42" s="720"/>
      <c r="S42" s="720"/>
      <c r="T42" s="720"/>
      <c r="U42" s="720"/>
      <c r="V42" s="722"/>
      <c r="W42" s="721"/>
      <c r="X42" s="722"/>
      <c r="Y42" s="721"/>
      <c r="Z42" s="722"/>
      <c r="AA42" s="721"/>
      <c r="AB42" s="722"/>
      <c r="AC42" s="721"/>
    </row>
    <row r="43" spans="1:29" ht="16.5" x14ac:dyDescent="0.45">
      <c r="A43" s="830"/>
      <c r="C43" t="s">
        <v>1034</v>
      </c>
      <c r="D43" t="s">
        <v>1047</v>
      </c>
      <c r="L43" s="720"/>
      <c r="M43" s="722"/>
      <c r="N43" s="721"/>
      <c r="O43" s="721"/>
      <c r="P43" s="719"/>
      <c r="R43" s="720"/>
      <c r="S43" s="720"/>
      <c r="T43" s="720"/>
      <c r="U43" s="720"/>
      <c r="V43" s="722"/>
      <c r="W43" s="721"/>
      <c r="X43" s="722"/>
      <c r="Y43" s="721"/>
      <c r="Z43" s="722"/>
      <c r="AA43" s="721"/>
      <c r="AB43" s="722"/>
      <c r="AC43" s="721"/>
    </row>
    <row r="44" spans="1:29" ht="16.5" x14ac:dyDescent="0.45">
      <c r="A44" s="830"/>
      <c r="C44" t="s">
        <v>1036</v>
      </c>
      <c r="L44" s="720"/>
      <c r="M44" s="722"/>
      <c r="N44" s="721"/>
      <c r="O44" s="721"/>
      <c r="P44" s="719"/>
      <c r="R44" s="720"/>
      <c r="S44" s="720"/>
      <c r="T44" s="720"/>
      <c r="U44" s="720"/>
      <c r="V44" s="722"/>
      <c r="W44" s="721"/>
      <c r="X44" s="722"/>
      <c r="Y44" s="721"/>
      <c r="Z44" s="722"/>
      <c r="AA44" s="721"/>
      <c r="AB44" s="722"/>
      <c r="AC44" s="721"/>
    </row>
    <row r="45" spans="1:29" x14ac:dyDescent="0.35">
      <c r="A45" s="830"/>
      <c r="L45" s="720"/>
      <c r="M45" s="722"/>
      <c r="N45" s="721"/>
      <c r="O45" s="721"/>
      <c r="P45" s="738"/>
      <c r="R45" s="720"/>
      <c r="S45" s="720"/>
      <c r="T45" s="720"/>
      <c r="U45" s="720"/>
      <c r="V45" s="722"/>
      <c r="W45" s="721"/>
      <c r="X45" s="722"/>
      <c r="Y45" s="721"/>
      <c r="Z45" s="722"/>
      <c r="AA45" s="721"/>
      <c r="AB45" s="722"/>
      <c r="AC45" s="721"/>
    </row>
    <row r="46" spans="1:29" ht="16.5" x14ac:dyDescent="0.45">
      <c r="A46" s="830"/>
      <c r="C46" t="s">
        <v>1037</v>
      </c>
      <c r="L46" s="720"/>
      <c r="M46" s="722"/>
      <c r="N46" s="721"/>
      <c r="O46" s="721"/>
      <c r="P46" s="738"/>
      <c r="R46" s="720"/>
      <c r="S46" s="720"/>
      <c r="T46" s="720"/>
      <c r="U46" s="720"/>
      <c r="V46" s="722"/>
      <c r="W46" s="721"/>
      <c r="X46" s="722"/>
      <c r="Y46" s="721"/>
      <c r="Z46" s="722"/>
      <c r="AA46" s="721"/>
      <c r="AB46" s="722"/>
      <c r="AC46" s="721"/>
    </row>
    <row r="47" spans="1:29" x14ac:dyDescent="0.35">
      <c r="A47" s="830"/>
      <c r="L47" s="720"/>
      <c r="M47" s="722"/>
      <c r="N47" s="721"/>
      <c r="O47" s="721"/>
      <c r="P47" s="738"/>
      <c r="R47" s="720"/>
      <c r="S47" s="720"/>
      <c r="T47" s="720"/>
      <c r="U47" s="720"/>
      <c r="V47" s="722"/>
      <c r="W47" s="721"/>
      <c r="X47" s="722"/>
      <c r="Y47" s="721"/>
      <c r="Z47" s="722"/>
      <c r="AA47" s="721"/>
      <c r="AB47" s="722"/>
      <c r="AC47" s="721"/>
    </row>
    <row r="48" spans="1:29" ht="15.75" customHeight="1" x14ac:dyDescent="0.35">
      <c r="A48" s="830"/>
      <c r="L48" s="720"/>
      <c r="M48" s="722"/>
      <c r="N48" s="721"/>
      <c r="O48" s="721"/>
      <c r="R48" s="720"/>
      <c r="S48" s="720"/>
      <c r="T48" s="720"/>
      <c r="U48" s="720"/>
      <c r="V48" s="722"/>
      <c r="W48" s="721"/>
      <c r="X48" s="722"/>
      <c r="Y48" s="721"/>
      <c r="Z48" s="722"/>
      <c r="AA48" s="721"/>
      <c r="AB48" s="722"/>
      <c r="AC48" s="721"/>
    </row>
    <row r="49" spans="1:29" x14ac:dyDescent="0.35">
      <c r="A49" s="830"/>
      <c r="C49" t="s">
        <v>1017</v>
      </c>
      <c r="D49" s="3"/>
      <c r="E49" t="s">
        <v>1027</v>
      </c>
      <c r="F49" t="str">
        <f>E13</f>
        <v>Zeitgenössisches Gebäude</v>
      </c>
      <c r="L49" s="720"/>
      <c r="M49" s="722"/>
      <c r="N49" s="721"/>
      <c r="R49" s="720"/>
      <c r="S49" s="720"/>
      <c r="T49" s="720"/>
      <c r="U49" s="720"/>
      <c r="V49" s="722"/>
      <c r="W49" s="721"/>
      <c r="X49" s="722"/>
      <c r="Y49" s="721"/>
      <c r="Z49" s="722"/>
      <c r="AA49" s="721"/>
      <c r="AB49" s="722"/>
      <c r="AC49" s="721"/>
    </row>
    <row r="50" spans="1:29" x14ac:dyDescent="0.35">
      <c r="A50" s="830"/>
      <c r="C50" t="s">
        <v>1016</v>
      </c>
      <c r="E50" t="s">
        <v>1026</v>
      </c>
      <c r="F50" t="str">
        <f>E14</f>
        <v>A 6250-1, Aufnahmedichte A</v>
      </c>
      <c r="L50" s="720"/>
      <c r="M50" s="722"/>
      <c r="N50" s="721"/>
      <c r="R50" s="720"/>
      <c r="S50" s="720"/>
      <c r="T50" s="720"/>
      <c r="U50" s="720"/>
      <c r="V50" s="722"/>
      <c r="W50" s="721"/>
      <c r="X50" s="722"/>
      <c r="Y50" s="721"/>
      <c r="Z50" s="722"/>
      <c r="AA50" s="721"/>
      <c r="AB50" s="722"/>
      <c r="AC50" s="721"/>
    </row>
    <row r="51" spans="1:29" x14ac:dyDescent="0.35">
      <c r="A51" s="830"/>
      <c r="C51" t="s">
        <v>1059</v>
      </c>
      <c r="E51" t="s">
        <v>1058</v>
      </c>
      <c r="F51" s="743" t="str">
        <f>E16</f>
        <v>Rohdachboden (mit Hauptgesperre)</v>
      </c>
      <c r="K51" s="119"/>
      <c r="L51" s="720"/>
      <c r="M51" s="722"/>
      <c r="N51" s="721"/>
      <c r="R51" s="720"/>
      <c r="S51" s="720"/>
      <c r="T51" s="720"/>
      <c r="U51" s="720"/>
      <c r="V51" s="722"/>
      <c r="W51" s="721"/>
      <c r="X51" s="722"/>
      <c r="Y51" s="721"/>
      <c r="Z51" s="722"/>
      <c r="AA51" s="721"/>
      <c r="AB51" s="722"/>
      <c r="AC51" s="721"/>
    </row>
    <row r="52" spans="1:29" x14ac:dyDescent="0.35">
      <c r="A52" s="830"/>
      <c r="C52" t="s">
        <v>1015</v>
      </c>
      <c r="E52" t="s">
        <v>1025</v>
      </c>
      <c r="F52" s="743" t="str">
        <f>E18</f>
        <v>nein</v>
      </c>
      <c r="K52" s="119"/>
      <c r="L52" s="720"/>
      <c r="M52" s="722"/>
      <c r="N52" s="721"/>
      <c r="R52" s="720"/>
      <c r="S52" s="720"/>
      <c r="T52" s="720"/>
      <c r="U52" s="720"/>
      <c r="V52" s="722"/>
      <c r="W52" s="721"/>
      <c r="X52" s="722"/>
      <c r="Y52" s="721"/>
      <c r="Z52" s="722"/>
      <c r="AA52" s="721"/>
      <c r="AB52" s="722"/>
      <c r="AC52" s="721"/>
    </row>
    <row r="53" spans="1:29" s="3" customFormat="1" x14ac:dyDescent="0.35">
      <c r="A53" s="830"/>
      <c r="B53"/>
      <c r="C53"/>
      <c r="D53"/>
      <c r="E53"/>
      <c r="F53"/>
      <c r="G53"/>
      <c r="H53"/>
      <c r="I53"/>
      <c r="J53" s="23"/>
      <c r="K53" s="120"/>
      <c r="L53" s="720"/>
      <c r="M53" s="722"/>
      <c r="N53" s="721"/>
      <c r="O53" s="94"/>
      <c r="P53" s="94"/>
      <c r="R53" s="720"/>
      <c r="S53" s="720"/>
      <c r="T53" s="720"/>
      <c r="U53" s="720"/>
      <c r="V53" s="722"/>
      <c r="W53" s="721"/>
      <c r="X53" s="722"/>
      <c r="Y53" s="721"/>
      <c r="Z53" s="722"/>
      <c r="AA53" s="721"/>
      <c r="AB53" s="722"/>
      <c r="AC53" s="721"/>
    </row>
    <row r="54" spans="1:29" ht="26" x14ac:dyDescent="0.35">
      <c r="A54" s="830"/>
      <c r="C54" s="737"/>
      <c r="D54" s="69"/>
      <c r="E54" s="754" t="s">
        <v>1000</v>
      </c>
      <c r="F54" s="754" t="s">
        <v>1001</v>
      </c>
      <c r="G54" s="754" t="s">
        <v>1002</v>
      </c>
      <c r="H54" s="755"/>
      <c r="K54" s="119"/>
      <c r="L54" s="720"/>
      <c r="M54" s="722"/>
      <c r="N54" s="721"/>
      <c r="O54" s="3"/>
      <c r="P54" s="3"/>
      <c r="R54" s="720"/>
      <c r="S54" s="720"/>
      <c r="T54" s="720"/>
      <c r="U54" s="720"/>
      <c r="V54" s="722"/>
      <c r="W54" s="721"/>
      <c r="X54" s="722"/>
      <c r="Y54" s="721"/>
      <c r="Z54" s="722"/>
      <c r="AA54" s="721"/>
      <c r="AB54" s="722"/>
      <c r="AC54" s="721"/>
    </row>
    <row r="55" spans="1:29" ht="15.5" x14ac:dyDescent="0.35">
      <c r="A55" s="830"/>
      <c r="C55" s="750" t="s">
        <v>996</v>
      </c>
      <c r="D55" s="751"/>
      <c r="E55" s="756">
        <f t="shared" ref="E55:F57" si="0">E6</f>
        <v>0</v>
      </c>
      <c r="F55" s="756">
        <f t="shared" si="0"/>
        <v>0</v>
      </c>
      <c r="G55" s="756"/>
      <c r="H55" s="757"/>
      <c r="K55" s="119"/>
      <c r="L55" s="720"/>
      <c r="M55" s="722"/>
      <c r="N55" s="721"/>
      <c r="R55" s="720"/>
      <c r="S55" s="720"/>
      <c r="T55" s="720"/>
      <c r="U55" s="720"/>
      <c r="V55" s="722"/>
      <c r="W55" s="721"/>
      <c r="X55" s="722"/>
      <c r="Y55" s="721"/>
      <c r="Z55" s="722"/>
      <c r="AA55" s="721"/>
      <c r="AB55" s="722"/>
      <c r="AC55" s="721"/>
    </row>
    <row r="56" spans="1:29" ht="15.5" x14ac:dyDescent="0.35">
      <c r="A56" s="830"/>
      <c r="C56" s="750" t="s">
        <v>997</v>
      </c>
      <c r="D56" s="751"/>
      <c r="E56" s="756">
        <f t="shared" si="0"/>
        <v>0</v>
      </c>
      <c r="F56" s="756">
        <f t="shared" si="0"/>
        <v>0</v>
      </c>
      <c r="G56" s="756">
        <f>G7</f>
        <v>0</v>
      </c>
      <c r="H56" s="757"/>
      <c r="K56" s="119"/>
      <c r="L56" s="720"/>
      <c r="M56" s="722"/>
      <c r="N56" s="721"/>
      <c r="R56" s="720"/>
      <c r="S56" s="720"/>
      <c r="T56" s="720"/>
      <c r="U56" s="720"/>
      <c r="V56" s="722"/>
      <c r="W56" s="721"/>
      <c r="X56" s="722"/>
      <c r="Y56" s="721"/>
      <c r="Z56" s="722"/>
      <c r="AA56" s="721"/>
      <c r="AB56" s="722"/>
      <c r="AC56" s="721"/>
    </row>
    <row r="57" spans="1:29" ht="15.5" x14ac:dyDescent="0.35">
      <c r="A57" s="830"/>
      <c r="C57" s="750" t="s">
        <v>998</v>
      </c>
      <c r="D57" s="751"/>
      <c r="E57" s="756">
        <f t="shared" si="0"/>
        <v>0</v>
      </c>
      <c r="F57" s="756">
        <f t="shared" si="0"/>
        <v>0</v>
      </c>
      <c r="G57" s="756"/>
      <c r="H57" s="757"/>
      <c r="K57" s="119"/>
      <c r="L57" s="720"/>
      <c r="M57" s="722"/>
      <c r="N57" s="721"/>
      <c r="R57" s="720"/>
      <c r="S57" s="720"/>
      <c r="T57" s="720"/>
      <c r="U57" s="720"/>
      <c r="V57" s="722"/>
      <c r="W57" s="721"/>
      <c r="X57" s="722"/>
      <c r="Y57" s="721"/>
      <c r="Z57" s="722"/>
      <c r="AA57" s="721"/>
      <c r="AB57" s="722"/>
      <c r="AC57" s="721"/>
    </row>
    <row r="58" spans="1:29" ht="15.5" x14ac:dyDescent="0.35">
      <c r="A58" s="830"/>
      <c r="B58" s="3"/>
      <c r="C58" s="752" t="s">
        <v>999</v>
      </c>
      <c r="D58" s="753"/>
      <c r="E58" s="758">
        <f>E9</f>
        <v>0</v>
      </c>
      <c r="F58" s="758"/>
      <c r="G58" s="758">
        <f>G9</f>
        <v>0</v>
      </c>
      <c r="H58" s="759"/>
      <c r="I58" s="3"/>
      <c r="L58" s="720"/>
      <c r="M58" s="722"/>
      <c r="N58" s="721"/>
      <c r="R58" s="720"/>
      <c r="S58" s="720"/>
      <c r="T58" s="720"/>
      <c r="U58" s="720"/>
      <c r="V58" s="722"/>
      <c r="W58" s="721"/>
      <c r="X58" s="722"/>
      <c r="Y58" s="721"/>
      <c r="Z58" s="722"/>
      <c r="AA58" s="721"/>
      <c r="AB58" s="722"/>
      <c r="AC58" s="721"/>
    </row>
    <row r="59" spans="1:29" x14ac:dyDescent="0.35">
      <c r="A59" s="830"/>
      <c r="C59" s="55" t="s">
        <v>862</v>
      </c>
      <c r="D59" s="172"/>
      <c r="E59" s="760">
        <f>SUM(E55:E58)</f>
        <v>0</v>
      </c>
      <c r="F59" s="760">
        <f>SUM(F55:F57)</f>
        <v>0</v>
      </c>
      <c r="G59" s="760">
        <f>SUM(G56,G58)</f>
        <v>0</v>
      </c>
      <c r="H59" s="761"/>
      <c r="L59" s="720"/>
      <c r="M59" s="722"/>
      <c r="N59" s="721"/>
      <c r="R59" s="720"/>
      <c r="S59" s="720"/>
      <c r="T59" s="720"/>
      <c r="U59" s="720"/>
      <c r="V59" s="722"/>
      <c r="W59" s="721"/>
      <c r="X59" s="722"/>
      <c r="Y59" s="721"/>
      <c r="Z59" s="722"/>
      <c r="AA59" s="721"/>
      <c r="AB59" s="722"/>
      <c r="AC59" s="721"/>
    </row>
    <row r="60" spans="1:29" x14ac:dyDescent="0.35">
      <c r="A60" s="830"/>
      <c r="E60" s="762"/>
      <c r="F60" s="762"/>
      <c r="G60" s="762"/>
      <c r="H60" s="755"/>
      <c r="L60" s="720"/>
      <c r="M60" s="722"/>
      <c r="N60" s="721"/>
      <c r="R60" s="720"/>
      <c r="S60" s="720"/>
      <c r="T60" s="720"/>
      <c r="U60" s="720"/>
      <c r="V60" s="722"/>
      <c r="W60" s="721"/>
      <c r="X60" s="722"/>
      <c r="Y60" s="721"/>
      <c r="Z60" s="722"/>
      <c r="AA60" s="721"/>
      <c r="AB60" s="722"/>
      <c r="AC60" s="721"/>
    </row>
    <row r="61" spans="1:29" ht="15.5" x14ac:dyDescent="0.35">
      <c r="A61" s="830"/>
      <c r="C61" s="737" t="s">
        <v>1031</v>
      </c>
      <c r="E61" s="763">
        <f>Y12</f>
        <v>0</v>
      </c>
      <c r="F61" s="763">
        <f>AA12</f>
        <v>0</v>
      </c>
      <c r="G61" s="763">
        <f>AC12</f>
        <v>0</v>
      </c>
      <c r="H61" s="755"/>
      <c r="L61" s="720"/>
      <c r="M61" s="722"/>
      <c r="N61" s="721"/>
      <c r="R61" s="720"/>
      <c r="S61" s="720"/>
      <c r="T61" s="720"/>
      <c r="U61" s="720"/>
      <c r="V61" s="722"/>
      <c r="W61" s="721"/>
      <c r="X61" s="722"/>
      <c r="Y61" s="721"/>
      <c r="Z61" s="722"/>
      <c r="AA61" s="721"/>
      <c r="AB61" s="722"/>
      <c r="AC61" s="721"/>
    </row>
    <row r="62" spans="1:29" ht="15.5" x14ac:dyDescent="0.35">
      <c r="A62" s="830"/>
      <c r="C62" s="737"/>
      <c r="L62" s="720"/>
      <c r="M62" s="722"/>
      <c r="N62" s="721"/>
      <c r="R62" s="720"/>
      <c r="S62" s="720"/>
      <c r="T62" s="720"/>
      <c r="U62" s="720"/>
      <c r="V62" s="722"/>
      <c r="W62" s="721"/>
      <c r="X62" s="722"/>
      <c r="Y62" s="721"/>
      <c r="Z62" s="722"/>
      <c r="AA62" s="721"/>
      <c r="AB62" s="722"/>
      <c r="AC62" s="721"/>
    </row>
    <row r="63" spans="1:29" x14ac:dyDescent="0.35">
      <c r="A63" s="830"/>
      <c r="C63" t="s">
        <v>60</v>
      </c>
      <c r="F63" s="118">
        <f>IF(F25&lt;&gt;0,ROUND(SUM(E61:G61),2),0)</f>
        <v>0</v>
      </c>
      <c r="L63" s="720"/>
      <c r="M63" s="722"/>
      <c r="N63" s="721"/>
      <c r="R63" s="720"/>
      <c r="S63" s="720"/>
      <c r="T63" s="720"/>
      <c r="U63" s="720"/>
      <c r="V63" s="722"/>
      <c r="W63" s="721"/>
      <c r="X63" s="722"/>
      <c r="Y63" s="721"/>
      <c r="Z63" s="722"/>
      <c r="AA63" s="721"/>
      <c r="AB63" s="722"/>
      <c r="AC63" s="721"/>
    </row>
    <row r="64" spans="1:29" s="11" customFormat="1" ht="15.5" x14ac:dyDescent="0.35">
      <c r="A64" s="830"/>
      <c r="B64"/>
      <c r="C64"/>
      <c r="D64"/>
      <c r="F64"/>
      <c r="G64"/>
      <c r="H64"/>
      <c r="I64"/>
      <c r="J64" s="114"/>
      <c r="K64" s="115"/>
      <c r="L64" s="720"/>
      <c r="M64" s="722"/>
      <c r="N64" s="721"/>
      <c r="O64" s="94"/>
      <c r="P64" s="94"/>
      <c r="R64" s="720"/>
      <c r="S64" s="720"/>
      <c r="T64" s="720"/>
      <c r="U64" s="720"/>
      <c r="V64" s="722"/>
      <c r="W64" s="721"/>
      <c r="X64" s="722"/>
      <c r="Y64" s="721"/>
      <c r="Z64" s="722"/>
      <c r="AA64" s="721"/>
      <c r="AB64" s="722"/>
      <c r="AC64" s="721"/>
    </row>
    <row r="65" spans="1:29" ht="15.5" x14ac:dyDescent="0.35">
      <c r="A65" s="830"/>
      <c r="B65" s="11"/>
      <c r="C65" t="str">
        <f>IF(AND(ZuAbschlag&lt;&gt;0,VSK&lt;&gt;0),"Zu-/Abschlag:","")</f>
        <v/>
      </c>
      <c r="E65" s="15" t="str">
        <f>IF(AND(ZuAbschlag&lt;&gt;0,VSK&lt;&gt;0),ZuAbschlag,"")</f>
        <v/>
      </c>
      <c r="F65" s="17" t="str">
        <f>IF(AND(ZuAbschlag&lt;&gt;0,VSK&lt;&gt;0),F63*E65,"")</f>
        <v/>
      </c>
      <c r="G65" s="1" t="str">
        <f>IF(AND(ZuAbschlag&lt;&gt;0,VSK&lt;&gt;0,G22&lt;&gt;""),G22,"")</f>
        <v/>
      </c>
      <c r="I65" s="11"/>
      <c r="L65" s="720"/>
      <c r="M65" s="722"/>
      <c r="N65" s="721"/>
      <c r="R65" s="720"/>
      <c r="S65" s="720"/>
      <c r="T65" s="720"/>
      <c r="U65" s="720"/>
      <c r="V65" s="722"/>
      <c r="W65" s="721"/>
      <c r="X65" s="722"/>
      <c r="Y65" s="721"/>
      <c r="Z65" s="722"/>
      <c r="AA65" s="721"/>
      <c r="AB65" s="722"/>
      <c r="AC65" s="721"/>
    </row>
    <row r="66" spans="1:29" x14ac:dyDescent="0.35">
      <c r="A66" s="830"/>
      <c r="C66" t="str">
        <f>IF(AND(NK&lt;&gt;0,VSK&lt;&gt;0),"Nebenkosten:","")</f>
        <v/>
      </c>
      <c r="F66" s="17" t="str">
        <f>IF(AND(NK&lt;&gt;0,VSK&lt;&gt;0),NK,"")</f>
        <v/>
      </c>
      <c r="G66" s="1" t="str">
        <f>IF(AND(NK&lt;&gt;0,VSK&lt;&gt;0,G23&lt;&gt;""),G23,"")</f>
        <v/>
      </c>
      <c r="L66" s="720"/>
      <c r="M66" s="722"/>
      <c r="N66" s="721"/>
      <c r="R66" s="720"/>
      <c r="S66" s="720"/>
      <c r="T66" s="720"/>
      <c r="U66" s="720"/>
      <c r="V66" s="722"/>
      <c r="W66" s="721"/>
      <c r="X66" s="722"/>
      <c r="Y66" s="721"/>
      <c r="Z66" s="722"/>
      <c r="AA66" s="721"/>
      <c r="AB66" s="722"/>
      <c r="AC66" s="721"/>
    </row>
    <row r="67" spans="1:29" x14ac:dyDescent="0.35">
      <c r="A67" s="830"/>
      <c r="C67" s="78"/>
      <c r="D67" s="78"/>
      <c r="E67" s="78"/>
      <c r="F67" s="151"/>
      <c r="G67" s="78"/>
      <c r="H67" s="78"/>
      <c r="I67" s="92"/>
      <c r="J67" s="93"/>
      <c r="K67" s="93"/>
      <c r="L67" s="720"/>
      <c r="M67" s="722"/>
      <c r="N67" s="721"/>
      <c r="R67" s="720"/>
      <c r="S67" s="720"/>
      <c r="T67" s="720"/>
      <c r="U67" s="720"/>
      <c r="V67" s="722"/>
      <c r="W67" s="721"/>
      <c r="X67" s="722"/>
      <c r="Y67" s="721"/>
      <c r="Z67" s="722"/>
      <c r="AA67" s="721"/>
      <c r="AB67" s="722"/>
      <c r="AC67" s="721"/>
    </row>
    <row r="68" spans="1:29" x14ac:dyDescent="0.35">
      <c r="A68" s="830"/>
      <c r="C68" t="str">
        <f>IF(E24&gt;0,"Nebenkosten:","")</f>
        <v/>
      </c>
      <c r="F68" s="118" t="str">
        <f>IF(E24&gt;0,ROUND(E24,2),"")</f>
        <v/>
      </c>
      <c r="L68" s="720"/>
      <c r="M68" s="722"/>
      <c r="N68" s="721"/>
      <c r="R68" s="720"/>
      <c r="S68" s="720"/>
      <c r="T68" s="720"/>
      <c r="U68" s="720"/>
      <c r="V68" s="722"/>
      <c r="W68" s="721"/>
      <c r="X68" s="722"/>
      <c r="Y68" s="721"/>
      <c r="Z68" s="722"/>
      <c r="AA68" s="721"/>
      <c r="AB68" s="722"/>
      <c r="AC68" s="721"/>
    </row>
    <row r="69" spans="1:29" s="16" customFormat="1" ht="15.5" x14ac:dyDescent="0.35">
      <c r="A69" s="830"/>
      <c r="B69"/>
      <c r="C69" s="16" t="s">
        <v>65</v>
      </c>
      <c r="D69" s="110"/>
      <c r="E69" s="110"/>
      <c r="F69" s="113"/>
      <c r="G69" s="715">
        <f>IF(F25,SUM(F63:F66),0)</f>
        <v>0</v>
      </c>
      <c r="H69" s="715"/>
      <c r="I69"/>
      <c r="J69" s="21"/>
      <c r="K69" s="106"/>
      <c r="L69" s="720"/>
      <c r="M69" s="722"/>
      <c r="N69" s="721"/>
      <c r="O69" s="94"/>
      <c r="P69" s="94"/>
      <c r="R69" s="720"/>
      <c r="S69" s="720"/>
      <c r="T69" s="720"/>
      <c r="U69" s="720"/>
      <c r="V69" s="722"/>
      <c r="W69" s="721"/>
      <c r="X69" s="722"/>
      <c r="Y69" s="721"/>
      <c r="Z69" s="722"/>
      <c r="AA69" s="721"/>
      <c r="AB69" s="722"/>
      <c r="AC69" s="721"/>
    </row>
    <row r="70" spans="1:29" ht="15.5" x14ac:dyDescent="0.35">
      <c r="A70" s="830"/>
      <c r="C70" s="30"/>
      <c r="E70" s="28"/>
      <c r="F70" s="118"/>
      <c r="L70" s="720"/>
      <c r="M70" s="722"/>
      <c r="N70" s="721"/>
      <c r="O70" s="16"/>
      <c r="P70" s="16"/>
      <c r="R70" s="720"/>
      <c r="S70" s="720"/>
      <c r="T70" s="720"/>
      <c r="U70" s="720"/>
      <c r="V70" s="722"/>
      <c r="W70" s="721"/>
      <c r="X70" s="722"/>
      <c r="Y70" s="721"/>
      <c r="Z70" s="722"/>
      <c r="AA70" s="721"/>
      <c r="AB70" s="722"/>
      <c r="AC70" s="721"/>
    </row>
    <row r="71" spans="1:29" x14ac:dyDescent="0.35">
      <c r="A71" s="830"/>
      <c r="L71" s="720"/>
      <c r="M71" s="722"/>
      <c r="N71" s="721"/>
      <c r="R71" s="720"/>
      <c r="S71" s="720"/>
      <c r="T71" s="720"/>
      <c r="U71" s="720"/>
      <c r="V71" s="722"/>
      <c r="W71" s="721"/>
      <c r="X71" s="722"/>
      <c r="Y71" s="721"/>
      <c r="Z71" s="722"/>
      <c r="AA71" s="721"/>
      <c r="AB71" s="722"/>
      <c r="AC71" s="721"/>
    </row>
    <row r="72" spans="1:29" x14ac:dyDescent="0.35">
      <c r="A72" s="830"/>
      <c r="L72" s="720"/>
      <c r="M72" s="722"/>
      <c r="N72" s="721"/>
      <c r="R72" s="720"/>
      <c r="S72" s="720"/>
      <c r="T72" s="720"/>
      <c r="U72" s="720"/>
      <c r="V72" s="722"/>
      <c r="W72" s="721"/>
      <c r="X72" s="722"/>
      <c r="Y72" s="721"/>
      <c r="Z72" s="722"/>
      <c r="AA72" s="721"/>
      <c r="AB72" s="722"/>
      <c r="AC72" s="721"/>
    </row>
    <row r="73" spans="1:29" x14ac:dyDescent="0.35">
      <c r="A73" s="830"/>
      <c r="L73" s="720"/>
      <c r="M73" s="722"/>
      <c r="N73" s="721"/>
      <c r="R73" s="720"/>
      <c r="S73" s="720"/>
      <c r="T73" s="720"/>
      <c r="U73" s="720"/>
      <c r="V73" s="722"/>
      <c r="W73" s="721"/>
      <c r="X73" s="722"/>
      <c r="Y73" s="721"/>
      <c r="Z73" s="722"/>
      <c r="AA73" s="721"/>
      <c r="AB73" s="722"/>
      <c r="AC73" s="721"/>
    </row>
    <row r="74" spans="1:29" x14ac:dyDescent="0.35">
      <c r="L74" s="720"/>
      <c r="M74" s="722"/>
      <c r="N74" s="721"/>
      <c r="R74" s="720"/>
      <c r="S74" s="720"/>
      <c r="T74" s="720"/>
      <c r="U74" s="720"/>
      <c r="V74" s="722"/>
      <c r="W74" s="721"/>
      <c r="X74" s="722"/>
      <c r="Y74" s="721"/>
      <c r="Z74" s="722"/>
      <c r="AA74" s="721"/>
      <c r="AB74" s="722"/>
      <c r="AC74" s="721"/>
    </row>
    <row r="75" spans="1:29" x14ac:dyDescent="0.35">
      <c r="L75" s="720"/>
      <c r="M75" s="722"/>
      <c r="N75" s="721"/>
      <c r="R75" s="720"/>
      <c r="S75" s="720"/>
      <c r="T75" s="720"/>
      <c r="U75" s="720"/>
      <c r="V75" s="722"/>
      <c r="W75" s="721"/>
      <c r="X75" s="722"/>
      <c r="Y75" s="721"/>
      <c r="Z75" s="722"/>
      <c r="AA75" s="721"/>
      <c r="AB75" s="722"/>
      <c r="AC75" s="721"/>
    </row>
    <row r="76" spans="1:29" x14ac:dyDescent="0.35">
      <c r="L76" s="720"/>
      <c r="M76" s="722"/>
      <c r="N76" s="721"/>
      <c r="R76" s="720"/>
      <c r="S76" s="720"/>
      <c r="T76" s="720"/>
      <c r="U76" s="720"/>
      <c r="V76" s="722"/>
      <c r="W76" s="721"/>
      <c r="X76" s="722"/>
      <c r="Y76" s="721"/>
      <c r="Z76" s="722"/>
      <c r="AA76" s="721"/>
      <c r="AB76" s="722"/>
      <c r="AC76" s="721"/>
    </row>
    <row r="77" spans="1:29" x14ac:dyDescent="0.35">
      <c r="L77" s="720"/>
      <c r="M77" s="722"/>
      <c r="N77" s="721"/>
      <c r="R77" s="720"/>
      <c r="S77" s="720"/>
      <c r="T77" s="720"/>
      <c r="U77" s="720"/>
      <c r="V77" s="722"/>
      <c r="W77" s="721"/>
      <c r="X77" s="722"/>
      <c r="Y77" s="721"/>
      <c r="Z77" s="722"/>
      <c r="AA77" s="721"/>
      <c r="AB77" s="722"/>
      <c r="AC77" s="721"/>
    </row>
    <row r="78" spans="1:29" x14ac:dyDescent="0.35">
      <c r="L78" s="720"/>
      <c r="M78" s="722"/>
      <c r="N78" s="721"/>
      <c r="R78" s="720"/>
      <c r="S78" s="720"/>
      <c r="T78" s="720"/>
      <c r="U78" s="720"/>
      <c r="V78" s="722"/>
      <c r="W78" s="721"/>
      <c r="X78" s="722"/>
      <c r="Y78" s="721"/>
      <c r="Z78" s="722"/>
      <c r="AA78" s="721"/>
      <c r="AB78" s="722"/>
      <c r="AC78" s="721"/>
    </row>
    <row r="79" spans="1:29" x14ac:dyDescent="0.35">
      <c r="L79" s="720"/>
      <c r="M79" s="722"/>
      <c r="N79" s="721"/>
      <c r="R79" s="720"/>
      <c r="S79" s="720"/>
      <c r="T79" s="720"/>
      <c r="U79" s="720"/>
      <c r="V79" s="722"/>
      <c r="W79" s="721"/>
      <c r="X79" s="722"/>
      <c r="Y79" s="721"/>
      <c r="Z79" s="722"/>
      <c r="AA79" s="721"/>
      <c r="AB79" s="722"/>
      <c r="AC79" s="721"/>
    </row>
    <row r="80" spans="1:29" x14ac:dyDescent="0.35">
      <c r="L80" s="720"/>
      <c r="M80" s="722"/>
      <c r="N80" s="721"/>
      <c r="R80" s="720"/>
      <c r="S80" s="720"/>
      <c r="T80" s="720"/>
      <c r="U80" s="720"/>
      <c r="V80" s="722"/>
      <c r="W80" s="721"/>
      <c r="X80" s="722"/>
      <c r="Y80" s="721"/>
      <c r="Z80" s="722"/>
      <c r="AA80" s="721"/>
      <c r="AB80" s="722"/>
      <c r="AC80" s="721"/>
    </row>
    <row r="81" spans="1:29" x14ac:dyDescent="0.35">
      <c r="L81" s="720"/>
      <c r="M81" s="722"/>
      <c r="N81" s="721"/>
      <c r="R81" s="720"/>
      <c r="S81" s="720"/>
      <c r="T81" s="720"/>
      <c r="U81" s="720"/>
      <c r="V81" s="722"/>
      <c r="W81" s="721"/>
      <c r="X81" s="722"/>
      <c r="Y81" s="721"/>
      <c r="Z81" s="722"/>
      <c r="AA81" s="721"/>
      <c r="AB81" s="722"/>
      <c r="AC81" s="721"/>
    </row>
    <row r="82" spans="1:29" x14ac:dyDescent="0.35">
      <c r="L82" s="720"/>
      <c r="M82" s="722"/>
      <c r="N82" s="721"/>
      <c r="R82" s="720"/>
      <c r="S82" s="720"/>
      <c r="T82" s="720"/>
      <c r="U82" s="720"/>
      <c r="V82" s="722"/>
      <c r="W82" s="721"/>
      <c r="X82" s="722"/>
      <c r="Y82" s="721"/>
      <c r="Z82" s="722"/>
      <c r="AA82" s="721"/>
      <c r="AB82" s="722"/>
      <c r="AC82" s="721"/>
    </row>
    <row r="83" spans="1:29" x14ac:dyDescent="0.35">
      <c r="L83" s="720"/>
      <c r="M83" s="722"/>
      <c r="N83" s="721"/>
      <c r="R83" s="720"/>
      <c r="S83" s="720"/>
      <c r="T83" s="720"/>
      <c r="U83" s="720"/>
      <c r="V83" s="722"/>
      <c r="W83" s="721"/>
      <c r="X83" s="722"/>
      <c r="Y83" s="721"/>
      <c r="Z83" s="722"/>
      <c r="AA83" s="721"/>
      <c r="AB83" s="722"/>
      <c r="AC83" s="721"/>
    </row>
    <row r="84" spans="1:29" s="94" customFormat="1" x14ac:dyDescent="0.35">
      <c r="A84"/>
      <c r="B84"/>
      <c r="C84"/>
      <c r="D84"/>
      <c r="E84"/>
      <c r="F84"/>
      <c r="G84"/>
      <c r="H84"/>
      <c r="I84"/>
      <c r="J84" s="18"/>
      <c r="K84" s="92"/>
      <c r="L84" s="720"/>
      <c r="M84" s="722"/>
      <c r="N84" s="721"/>
      <c r="R84" s="720"/>
      <c r="S84" s="720"/>
      <c r="T84" s="720"/>
      <c r="U84" s="720"/>
      <c r="V84" s="722"/>
      <c r="W84" s="721"/>
      <c r="X84" s="722"/>
      <c r="Y84" s="721"/>
      <c r="Z84" s="722"/>
      <c r="AA84" s="721"/>
      <c r="AB84" s="722"/>
      <c r="AC84" s="721"/>
    </row>
    <row r="85" spans="1:29" s="94" customFormat="1" x14ac:dyDescent="0.35">
      <c r="A85"/>
      <c r="B85"/>
      <c r="C85"/>
      <c r="D85"/>
      <c r="E85"/>
      <c r="F85"/>
      <c r="G85"/>
      <c r="H85"/>
      <c r="I85"/>
      <c r="J85" s="18"/>
      <c r="K85" s="92"/>
      <c r="L85" s="716"/>
      <c r="M85" s="722"/>
      <c r="N85" s="721"/>
      <c r="R85" s="716"/>
      <c r="S85" s="716"/>
      <c r="T85" s="716"/>
      <c r="U85" s="716"/>
      <c r="V85" s="722"/>
      <c r="W85" s="721"/>
      <c r="X85" s="722"/>
      <c r="Y85" s="721"/>
      <c r="Z85" s="722"/>
      <c r="AA85" s="721"/>
      <c r="AB85" s="722"/>
      <c r="AC85" s="721"/>
    </row>
    <row r="86" spans="1:29" s="94" customFormat="1" x14ac:dyDescent="0.35">
      <c r="A86"/>
      <c r="B86"/>
      <c r="C86"/>
      <c r="D86"/>
      <c r="E86"/>
      <c r="F86"/>
      <c r="G86"/>
      <c r="H86"/>
      <c r="I86"/>
      <c r="J86" s="18"/>
      <c r="K86" s="92"/>
      <c r="L86" s="716"/>
      <c r="M86" s="722"/>
      <c r="N86" s="721"/>
      <c r="R86" s="716"/>
      <c r="S86" s="716"/>
      <c r="T86" s="716"/>
      <c r="U86" s="716"/>
      <c r="V86" s="722"/>
      <c r="W86" s="721"/>
      <c r="X86" s="722"/>
      <c r="Y86" s="721"/>
      <c r="Z86" s="722"/>
      <c r="AA86" s="721"/>
      <c r="AB86" s="722"/>
      <c r="AC86" s="721"/>
    </row>
    <row r="87" spans="1:29" s="94" customFormat="1" x14ac:dyDescent="0.35">
      <c r="A87"/>
      <c r="B87"/>
      <c r="C87"/>
      <c r="D87"/>
      <c r="E87"/>
      <c r="F87"/>
      <c r="G87"/>
      <c r="H87"/>
      <c r="I87"/>
      <c r="J87" s="18"/>
      <c r="K87" s="92"/>
      <c r="L87" s="716"/>
      <c r="M87" s="722"/>
      <c r="N87" s="721"/>
      <c r="R87" s="716"/>
      <c r="S87" s="716"/>
      <c r="T87" s="716"/>
      <c r="U87" s="716"/>
      <c r="V87" s="722"/>
      <c r="W87" s="721"/>
      <c r="X87" s="722"/>
      <c r="Y87" s="721"/>
      <c r="Z87" s="722"/>
      <c r="AA87" s="721"/>
      <c r="AB87" s="722"/>
      <c r="AC87" s="721"/>
    </row>
    <row r="88" spans="1:29" s="94" customFormat="1" x14ac:dyDescent="0.35">
      <c r="A88"/>
      <c r="B88"/>
      <c r="C88"/>
      <c r="D88"/>
      <c r="E88"/>
      <c r="F88"/>
      <c r="G88"/>
      <c r="H88"/>
      <c r="I88"/>
      <c r="J88" s="18"/>
      <c r="K88" s="92"/>
      <c r="L88" s="716"/>
      <c r="M88" s="722"/>
      <c r="N88" s="721"/>
      <c r="R88" s="716"/>
      <c r="S88" s="716"/>
      <c r="T88" s="716"/>
      <c r="U88" s="716"/>
      <c r="V88" s="722"/>
      <c r="W88" s="721"/>
      <c r="X88" s="722"/>
      <c r="Y88" s="721"/>
      <c r="Z88" s="722"/>
      <c r="AA88" s="721"/>
      <c r="AB88" s="722"/>
      <c r="AC88" s="721"/>
    </row>
    <row r="89" spans="1:29" s="94" customFormat="1" x14ac:dyDescent="0.35">
      <c r="A89"/>
      <c r="B89"/>
      <c r="C89"/>
      <c r="D89"/>
      <c r="E89"/>
      <c r="F89"/>
      <c r="G89"/>
      <c r="H89"/>
      <c r="I89"/>
      <c r="J89" s="18"/>
      <c r="K89" s="92"/>
      <c r="L89" s="716"/>
      <c r="M89" s="722"/>
      <c r="N89" s="721"/>
      <c r="R89" s="716"/>
      <c r="S89" s="716"/>
      <c r="T89" s="716"/>
      <c r="U89" s="716"/>
      <c r="V89" s="722"/>
      <c r="W89" s="721"/>
      <c r="X89" s="722"/>
      <c r="Y89" s="721"/>
      <c r="Z89" s="722"/>
      <c r="AA89" s="721"/>
      <c r="AB89" s="722"/>
      <c r="AC89" s="721"/>
    </row>
    <row r="90" spans="1:29" s="94" customFormat="1" x14ac:dyDescent="0.35">
      <c r="A90"/>
      <c r="B90"/>
      <c r="C90"/>
      <c r="D90"/>
      <c r="E90"/>
      <c r="F90"/>
      <c r="G90"/>
      <c r="H90"/>
      <c r="I90"/>
      <c r="J90" s="18"/>
      <c r="K90" s="92"/>
      <c r="L90" s="716"/>
      <c r="M90" s="722"/>
      <c r="N90" s="721"/>
      <c r="R90" s="716"/>
      <c r="S90" s="716"/>
      <c r="T90" s="716"/>
      <c r="U90" s="716"/>
      <c r="V90" s="722"/>
      <c r="W90" s="721"/>
      <c r="X90" s="722"/>
      <c r="Y90" s="721"/>
      <c r="Z90" s="722"/>
      <c r="AA90" s="721"/>
      <c r="AB90" s="722"/>
      <c r="AC90" s="721"/>
    </row>
    <row r="91" spans="1:29" s="94" customFormat="1" x14ac:dyDescent="0.35">
      <c r="A91"/>
      <c r="B91"/>
      <c r="C91"/>
      <c r="D91"/>
      <c r="E91"/>
      <c r="F91"/>
      <c r="G91"/>
      <c r="H91"/>
      <c r="I91"/>
      <c r="J91" s="18"/>
      <c r="K91" s="92"/>
      <c r="L91" s="716"/>
      <c r="M91" s="722"/>
      <c r="N91" s="721"/>
      <c r="R91" s="716"/>
      <c r="S91" s="716"/>
      <c r="T91" s="716"/>
      <c r="U91" s="716"/>
      <c r="V91" s="722"/>
      <c r="W91" s="721"/>
      <c r="X91" s="722"/>
      <c r="Y91" s="721"/>
      <c r="Z91" s="722"/>
      <c r="AA91" s="721"/>
      <c r="AB91" s="722"/>
      <c r="AC91" s="721"/>
    </row>
    <row r="92" spans="1:29" s="94" customFormat="1" x14ac:dyDescent="0.35">
      <c r="A92"/>
      <c r="B92"/>
      <c r="C92"/>
      <c r="D92"/>
      <c r="E92"/>
      <c r="F92"/>
      <c r="G92"/>
      <c r="H92"/>
      <c r="I92"/>
      <c r="J92" s="18"/>
      <c r="K92" s="92"/>
      <c r="L92" s="716"/>
      <c r="M92" s="722"/>
      <c r="N92" s="721"/>
      <c r="R92" s="716"/>
      <c r="S92" s="716"/>
      <c r="T92" s="716"/>
      <c r="U92" s="716"/>
      <c r="V92" s="722"/>
      <c r="W92" s="721"/>
      <c r="X92" s="722"/>
      <c r="Y92" s="721"/>
      <c r="Z92" s="722"/>
      <c r="AA92" s="721"/>
      <c r="AB92" s="722"/>
      <c r="AC92" s="721"/>
    </row>
    <row r="93" spans="1:29" s="94" customFormat="1" x14ac:dyDescent="0.35">
      <c r="A93"/>
      <c r="B93"/>
      <c r="C93"/>
      <c r="D93"/>
      <c r="E93"/>
      <c r="F93"/>
      <c r="G93"/>
      <c r="H93"/>
      <c r="I93"/>
      <c r="J93" s="18"/>
      <c r="K93" s="92"/>
      <c r="L93" s="716"/>
      <c r="M93" s="722"/>
      <c r="N93" s="721"/>
      <c r="R93" s="716"/>
      <c r="S93" s="716"/>
      <c r="T93" s="716"/>
      <c r="U93" s="716"/>
      <c r="V93" s="722"/>
      <c r="W93" s="721"/>
      <c r="X93" s="722"/>
      <c r="Y93" s="721"/>
      <c r="Z93" s="722"/>
      <c r="AA93" s="721"/>
      <c r="AB93" s="722"/>
      <c r="AC93" s="721"/>
    </row>
    <row r="94" spans="1:29" s="94" customFormat="1" x14ac:dyDescent="0.35">
      <c r="A94"/>
      <c r="B94"/>
      <c r="C94"/>
      <c r="D94"/>
      <c r="E94"/>
      <c r="F94"/>
      <c r="G94"/>
      <c r="H94"/>
      <c r="I94"/>
      <c r="J94" s="18"/>
      <c r="K94" s="92"/>
      <c r="L94" s="716"/>
      <c r="M94" s="722"/>
      <c r="N94" s="721"/>
      <c r="R94" s="716"/>
      <c r="S94" s="716"/>
      <c r="T94" s="716"/>
      <c r="U94" s="716"/>
      <c r="V94" s="722"/>
      <c r="W94" s="721"/>
      <c r="X94" s="722"/>
      <c r="Y94" s="721"/>
      <c r="Z94" s="722"/>
      <c r="AA94" s="721"/>
      <c r="AB94" s="722"/>
      <c r="AC94" s="721"/>
    </row>
    <row r="95" spans="1:29" s="94" customFormat="1" x14ac:dyDescent="0.35">
      <c r="A95"/>
      <c r="B95"/>
      <c r="C95"/>
      <c r="D95"/>
      <c r="E95"/>
      <c r="F95"/>
      <c r="G95"/>
      <c r="H95"/>
      <c r="I95"/>
      <c r="J95" s="18"/>
      <c r="K95" s="92"/>
      <c r="L95" s="716"/>
      <c r="M95" s="716"/>
      <c r="N95" s="725"/>
      <c r="O95" s="721"/>
      <c r="T95"/>
      <c r="U95"/>
      <c r="V95"/>
      <c r="W95"/>
      <c r="X95"/>
    </row>
  </sheetData>
  <dataConsolidate/>
  <mergeCells count="26">
    <mergeCell ref="AB5:AB6"/>
    <mergeCell ref="AA5:AA6"/>
    <mergeCell ref="AC5:AC6"/>
    <mergeCell ref="AD5:AD6"/>
    <mergeCell ref="Y5:Y6"/>
    <mergeCell ref="Z5:Z6"/>
    <mergeCell ref="A1:A26"/>
    <mergeCell ref="D2:H2"/>
    <mergeCell ref="D3:H3"/>
    <mergeCell ref="G22:H22"/>
    <mergeCell ref="G23:H23"/>
    <mergeCell ref="G25:H25"/>
    <mergeCell ref="E4:E5"/>
    <mergeCell ref="F4:F5"/>
    <mergeCell ref="G4:G5"/>
    <mergeCell ref="H6:H10"/>
    <mergeCell ref="E14:H14"/>
    <mergeCell ref="E13:H13"/>
    <mergeCell ref="E16:H16"/>
    <mergeCell ref="E18:H18"/>
    <mergeCell ref="A27:A73"/>
    <mergeCell ref="B28:I28"/>
    <mergeCell ref="B29:I29"/>
    <mergeCell ref="B30:I30"/>
    <mergeCell ref="B31:I31"/>
    <mergeCell ref="B33:I33"/>
  </mergeCells>
  <dataValidations count="7">
    <dataValidation type="decimal" operator="greaterThan" showInputMessage="1" showErrorMessage="1" sqref="E22" xr:uid="{E54F0D17-1A8C-40CF-9C4E-09359BC8BCC3}">
      <formula1>-1000</formula1>
    </dataValidation>
    <dataValidation type="decimal" operator="greaterThan" allowBlank="1" showInputMessage="1" showErrorMessage="1" sqref="E23" xr:uid="{3EA81864-2D43-4CCE-99B9-BEA9DF8C4CB9}">
      <formula1>-1000000</formula1>
    </dataValidation>
    <dataValidation type="list" allowBlank="1" showInputMessage="1" showErrorMessage="1" sqref="E13:H13" xr:uid="{0F772269-60A6-4AB9-86C4-4AFBB1449470}">
      <formula1>$K$5:$K$6</formula1>
    </dataValidation>
    <dataValidation type="list" allowBlank="1" showInputMessage="1" showErrorMessage="1" sqref="E16:H16" xr:uid="{A1EAA510-AA09-4BE4-AB42-0555F0DED1BB}">
      <formula1>$P$7:$P$10</formula1>
    </dataValidation>
    <dataValidation type="list" allowBlank="1" showInputMessage="1" showErrorMessage="1" sqref="E14:H14" xr:uid="{8027053E-82FF-436A-B9A2-D3A6993ED9E2}">
      <formula1>$K$10:$K$15</formula1>
    </dataValidation>
    <dataValidation type="list" allowBlank="1" showInputMessage="1" showErrorMessage="1" sqref="E18:H18" xr:uid="{6BAB76C9-A4A4-477E-B32C-9AD28C9E7B9B}">
      <formula1>$P$13:$P$15</formula1>
    </dataValidation>
    <dataValidation type="decimal" allowBlank="1" showInputMessage="1" showErrorMessage="1" error="Zahl zwischen 10 und 200000 erforderlich" sqref="G9 F6:F8 G7 E7:E9 E6" xr:uid="{B29C95E1-A5A7-46FA-A26F-8B983760549F}">
      <formula1>10</formula1>
      <formula2>200000</formula2>
    </dataValidation>
  </dataValidations>
  <pageMargins left="0.70866141732283472" right="0.39370078740157483" top="0.59055118110236227" bottom="0.59055118110236227" header="0.31496062992125984" footer="0.31496062992125984"/>
  <pageSetup paperSize="9" orientation="portrait" r:id="rId1"/>
  <headerFooter>
    <oddFooter>&amp;L&amp;9&amp;F, &amp;A&amp;R&amp;9&amp;D</oddFooter>
  </headerFooter>
  <legacyDrawingHF r:id="rId2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19"/>
  <dimension ref="A1:W69"/>
  <sheetViews>
    <sheetView zoomScaleNormal="100" zoomScaleSheetLayoutView="100" workbookViewId="0">
      <selection activeCell="F4" sqref="F4"/>
    </sheetView>
  </sheetViews>
  <sheetFormatPr baseColWidth="10" defaultColWidth="11.453125" defaultRowHeight="14.5" x14ac:dyDescent="0.35"/>
  <cols>
    <col min="1" max="1" width="4" customWidth="1"/>
    <col min="2" max="2" width="6.7265625" customWidth="1"/>
    <col min="3" max="8" width="12.7265625" customWidth="1"/>
    <col min="9" max="9" width="5.7265625" customWidth="1"/>
    <col min="10" max="10" width="8.7265625" style="18" customWidth="1"/>
    <col min="11" max="11" width="11.453125" style="296"/>
    <col min="12" max="12" width="11.453125" style="297"/>
    <col min="13" max="17" width="11.453125" style="298"/>
    <col min="18" max="18" width="11.453125" style="18"/>
  </cols>
  <sheetData>
    <row r="1" spans="1:23" ht="17.25" customHeight="1" x14ac:dyDescent="0.35">
      <c r="A1" s="833" t="s">
        <v>35</v>
      </c>
      <c r="B1" s="45"/>
      <c r="C1" s="45"/>
      <c r="D1" s="45"/>
      <c r="E1" s="45"/>
      <c r="F1" s="45"/>
      <c r="G1" s="45"/>
      <c r="H1" s="45"/>
      <c r="I1" s="45"/>
      <c r="K1" s="93" t="s">
        <v>699</v>
      </c>
      <c r="L1" s="93"/>
      <c r="M1" s="93"/>
      <c r="N1" s="94">
        <f ca="1">CELL("ZEILE",B27)</f>
        <v>27</v>
      </c>
    </row>
    <row r="2" spans="1:23" ht="22.5" customHeight="1" x14ac:dyDescent="0.35">
      <c r="A2" s="833"/>
      <c r="B2" s="46"/>
      <c r="C2" s="47" t="s">
        <v>36</v>
      </c>
      <c r="D2" s="864" t="s">
        <v>96</v>
      </c>
      <c r="E2" s="865"/>
      <c r="F2" s="865"/>
      <c r="G2" s="865"/>
      <c r="H2" s="866"/>
      <c r="I2" s="45"/>
      <c r="K2" s="175" t="s">
        <v>700</v>
      </c>
      <c r="L2" s="155"/>
      <c r="M2" s="155"/>
      <c r="N2" s="175">
        <f ca="1">CELL("ZEILE",G62)</f>
        <v>62</v>
      </c>
      <c r="O2" s="352"/>
      <c r="P2" s="352"/>
    </row>
    <row r="3" spans="1:23" ht="22.5" customHeight="1" x14ac:dyDescent="0.35">
      <c r="A3" s="833"/>
      <c r="B3" s="46"/>
      <c r="C3" s="47"/>
      <c r="D3" s="58"/>
      <c r="E3" s="59"/>
      <c r="F3" s="59"/>
      <c r="G3" s="59"/>
      <c r="H3" s="60"/>
      <c r="I3" s="45"/>
      <c r="K3" s="175" t="s">
        <v>701</v>
      </c>
      <c r="L3" s="155"/>
      <c r="M3" s="155"/>
      <c r="N3" s="175">
        <f>F19</f>
        <v>0</v>
      </c>
      <c r="O3" s="352"/>
      <c r="P3" s="352"/>
    </row>
    <row r="4" spans="1:23" ht="17.25" customHeight="1" x14ac:dyDescent="0.35">
      <c r="A4" s="833"/>
      <c r="B4" s="46"/>
      <c r="C4" s="47" t="s">
        <v>2</v>
      </c>
      <c r="D4" s="47"/>
      <c r="E4" s="48"/>
      <c r="F4" s="314" t="s">
        <v>30</v>
      </c>
      <c r="G4" s="49">
        <f>VLOOKUP(H4,Konstante!Q97:R98,2,FALSE)</f>
        <v>1</v>
      </c>
      <c r="H4" s="314" t="s">
        <v>26</v>
      </c>
      <c r="I4" s="45"/>
      <c r="K4" s="352"/>
      <c r="L4" s="352"/>
      <c r="M4" s="352"/>
      <c r="N4" s="352"/>
      <c r="O4" s="352"/>
      <c r="P4" s="352"/>
    </row>
    <row r="5" spans="1:23" ht="17.25" customHeight="1" x14ac:dyDescent="0.35">
      <c r="A5" s="833"/>
      <c r="B5" s="46"/>
      <c r="C5" s="47" t="s">
        <v>3</v>
      </c>
      <c r="D5" s="47"/>
      <c r="E5" s="934" t="s">
        <v>43</v>
      </c>
      <c r="F5" s="935"/>
      <c r="G5" s="935"/>
      <c r="H5" s="936"/>
      <c r="I5" s="45"/>
      <c r="K5" s="925" t="s">
        <v>624</v>
      </c>
      <c r="L5" s="926"/>
      <c r="M5" s="926"/>
      <c r="N5" s="927"/>
      <c r="O5" s="352"/>
      <c r="P5" s="352"/>
    </row>
    <row r="6" spans="1:23" ht="17.25" customHeight="1" x14ac:dyDescent="0.35">
      <c r="A6" s="833"/>
      <c r="B6" s="46"/>
      <c r="C6" s="50" t="s">
        <v>64</v>
      </c>
      <c r="D6" s="50"/>
      <c r="E6" s="50"/>
      <c r="F6" s="50"/>
      <c r="G6" s="50"/>
      <c r="H6" s="56">
        <f>IF(E5="Herauszeichnen aus bestehenden LH-Plänen",0.6,1)</f>
        <v>0.6</v>
      </c>
      <c r="I6" s="45"/>
      <c r="K6" s="928"/>
      <c r="L6" s="929"/>
      <c r="M6" s="929"/>
      <c r="N6" s="930"/>
    </row>
    <row r="7" spans="1:23" ht="19.5" customHeight="1" x14ac:dyDescent="0.35">
      <c r="A7" s="833"/>
      <c r="B7" s="46"/>
      <c r="C7" s="47" t="s">
        <v>0</v>
      </c>
      <c r="D7" s="47"/>
      <c r="E7" s="51"/>
      <c r="F7" s="51"/>
      <c r="G7" s="48"/>
      <c r="H7" s="314" t="s">
        <v>8</v>
      </c>
      <c r="I7" s="45"/>
    </row>
    <row r="8" spans="1:23" s="2" customFormat="1" ht="20.149999999999999" customHeight="1" x14ac:dyDescent="0.35">
      <c r="A8" s="833"/>
      <c r="B8" s="46"/>
      <c r="C8" s="52" t="s">
        <v>56</v>
      </c>
      <c r="D8" s="52"/>
      <c r="E8" s="52" t="s">
        <v>625</v>
      </c>
      <c r="F8" s="52"/>
      <c r="G8" s="931" t="s">
        <v>57</v>
      </c>
      <c r="H8" s="931"/>
      <c r="I8" s="47"/>
      <c r="J8" s="19"/>
      <c r="K8" s="299" t="s">
        <v>61</v>
      </c>
      <c r="L8" s="300" t="str">
        <f>IF(VSK&gt;0,((F1_*l)+PRODUCT(F2_,l1_,_s1)+PRODUCT(F2_,l2_,_s2)+PRODUCT(F2_,l3_,_s3)+(0.28*ns)+((l/ns)^0.5)/3-1+(2/ns^0.5)+PRODUCT(0.24,ns1_,_s1)+PRODUCT(0.24,ns2_,_s2)+PRODUCT(0.24,ns3_,_s3))*IS*Abminderungsfaktor,"")</f>
        <v/>
      </c>
      <c r="M8" s="301" t="s">
        <v>1100</v>
      </c>
      <c r="N8" s="301"/>
      <c r="O8" s="301"/>
      <c r="P8" s="301"/>
      <c r="Q8" s="301"/>
      <c r="R8" s="19"/>
      <c r="V8" s="781"/>
      <c r="W8" s="780"/>
    </row>
    <row r="9" spans="1:23" s="2" customFormat="1" ht="20.149999999999999" customHeight="1" x14ac:dyDescent="0.35">
      <c r="A9" s="833"/>
      <c r="B9" s="46"/>
      <c r="C9" s="315" t="s">
        <v>47</v>
      </c>
      <c r="D9" s="316"/>
      <c r="E9" s="315" t="s">
        <v>50</v>
      </c>
      <c r="F9" s="325"/>
      <c r="G9" s="315" t="s">
        <v>107</v>
      </c>
      <c r="H9" s="313" t="s">
        <v>20</v>
      </c>
      <c r="I9" s="46"/>
      <c r="J9" s="19"/>
      <c r="K9" s="299" t="s">
        <v>62</v>
      </c>
      <c r="L9" s="300" t="str">
        <f>IF(VSK&gt;0,((F3_*l)+PRODUCT(F4_,l1_,_s1)+PRODUCT(F4_,l2_,_s2)+PRODUCT(F4_,l3_,_s3)+((l/ns)^0.5)/3-1+(2/ns^0.1))*IS*Abminderungsfaktor,"")</f>
        <v/>
      </c>
      <c r="M9" s="301" t="s">
        <v>1099</v>
      </c>
      <c r="N9" s="301"/>
      <c r="O9" s="301"/>
      <c r="P9" s="301"/>
      <c r="Q9" s="301"/>
      <c r="R9" s="19"/>
      <c r="V9" s="781"/>
      <c r="W9" s="780"/>
    </row>
    <row r="10" spans="1:23" s="2" customFormat="1" ht="20.149999999999999" customHeight="1" x14ac:dyDescent="0.35">
      <c r="A10" s="833"/>
      <c r="B10" s="46"/>
      <c r="C10" s="315" t="s">
        <v>48</v>
      </c>
      <c r="D10" s="316"/>
      <c r="E10" s="315" t="s">
        <v>51</v>
      </c>
      <c r="F10" s="325"/>
      <c r="G10" s="315" t="s">
        <v>108</v>
      </c>
      <c r="H10" s="313" t="s">
        <v>20</v>
      </c>
      <c r="I10" s="46"/>
      <c r="J10" s="19"/>
      <c r="K10" s="299" t="s">
        <v>63</v>
      </c>
      <c r="L10" s="300" t="str">
        <f>IF(VSK&gt;0,((F5_*l)+PRODUCT(F6_,l1_,_s1)+PRODUCT(F6_,l2_,_s2)+PRODUCT(F6_,l3_,_s3)+(0.19*ns)+((l/ns)^0.25/6)-1+(1/ns^0.25))*IS,"")</f>
        <v/>
      </c>
      <c r="M10" s="301" t="s">
        <v>1098</v>
      </c>
      <c r="N10" s="301"/>
      <c r="O10" s="301"/>
      <c r="P10" s="301"/>
      <c r="Q10" s="301"/>
      <c r="R10" s="19"/>
      <c r="V10" s="781"/>
      <c r="W10" s="780"/>
    </row>
    <row r="11" spans="1:23" s="2" customFormat="1" ht="20.149999999999999" customHeight="1" x14ac:dyDescent="0.35">
      <c r="A11" s="833"/>
      <c r="B11" s="46"/>
      <c r="C11" s="315" t="s">
        <v>49</v>
      </c>
      <c r="D11" s="316"/>
      <c r="E11" s="315" t="s">
        <v>52</v>
      </c>
      <c r="F11" s="325"/>
      <c r="G11" s="315" t="s">
        <v>109</v>
      </c>
      <c r="H11" s="313" t="s">
        <v>20</v>
      </c>
      <c r="I11" s="46"/>
      <c r="J11" s="19"/>
      <c r="K11" s="299"/>
      <c r="L11" s="300"/>
      <c r="M11" s="301"/>
      <c r="N11" s="301"/>
      <c r="O11" s="301"/>
      <c r="P11" s="301"/>
      <c r="Q11" s="301"/>
      <c r="R11" s="19"/>
    </row>
    <row r="12" spans="1:23" s="2" customFormat="1" ht="20.149999999999999" customHeight="1" x14ac:dyDescent="0.35">
      <c r="A12" s="833"/>
      <c r="B12" s="46"/>
      <c r="C12" s="317" t="s">
        <v>45</v>
      </c>
      <c r="D12" s="318">
        <f>SUM(D9:D11)</f>
        <v>0</v>
      </c>
      <c r="E12" s="317" t="s">
        <v>46</v>
      </c>
      <c r="F12" s="319">
        <f>SUM(F9:F11)</f>
        <v>0</v>
      </c>
      <c r="G12" s="317" t="s">
        <v>53</v>
      </c>
      <c r="H12" s="319">
        <f>IF(D12&gt;0,F12/D12,0)</f>
        <v>0</v>
      </c>
      <c r="I12" s="47"/>
      <c r="J12" s="19"/>
      <c r="K12" s="299"/>
      <c r="L12" s="300"/>
      <c r="M12" s="301"/>
      <c r="N12" s="301"/>
      <c r="O12" s="924" t="str">
        <f>CONCATENATE("Änderung der Profilzahl wegen größerer Profillängen  (&gt;",Konstante!U101,"m)")</f>
        <v>Änderung der Profilzahl wegen größerer Profillängen  (&gt;250m)</v>
      </c>
      <c r="P12" s="924"/>
      <c r="Q12" s="924"/>
      <c r="R12" s="924"/>
      <c r="S12" s="924"/>
      <c r="T12" s="924"/>
    </row>
    <row r="13" spans="1:23" s="2" customFormat="1" ht="20.149999999999999" customHeight="1" x14ac:dyDescent="0.35">
      <c r="A13" s="833"/>
      <c r="B13" s="45"/>
      <c r="C13" s="47"/>
      <c r="D13" s="47"/>
      <c r="E13" s="53"/>
      <c r="F13" s="47"/>
      <c r="G13" s="46"/>
      <c r="H13" s="46"/>
      <c r="I13" s="47"/>
      <c r="J13" s="19"/>
      <c r="K13" s="299" t="s">
        <v>68</v>
      </c>
      <c r="L13" s="300">
        <f>VLOOKUP(H9,Konstante!K$97:M$105,1+G$4,FALSE)</f>
        <v>1.3</v>
      </c>
      <c r="M13" s="299" t="s">
        <v>69</v>
      </c>
      <c r="N13" s="302">
        <f>VLOOKUP(H$7,Konstante!C$97:I$103,2,FALSE)</f>
        <v>5.3E-3</v>
      </c>
      <c r="O13" s="299" t="s">
        <v>393</v>
      </c>
      <c r="P13" s="303">
        <f>SUM(D42)</f>
        <v>0</v>
      </c>
      <c r="Q13" s="299" t="s">
        <v>392</v>
      </c>
      <c r="R13" s="303">
        <f>IF(SUM(F42)&lt;&gt;"",IF((SUM(F42)-SUM(D42)*Konstante!U$101)&gt;=0.5,ROUND((SUM(F42)-SUM(D42)*Konstante!U$101+Konstante!U$101/2-0.5)/Konstante!U$101,0),0),0)</f>
        <v>0</v>
      </c>
      <c r="S13" s="299" t="s">
        <v>391</v>
      </c>
      <c r="T13" s="303">
        <f t="shared" ref="T13:T15" si="0">P13+R13</f>
        <v>0</v>
      </c>
      <c r="U13" s="326"/>
    </row>
    <row r="14" spans="1:23" s="2" customFormat="1" ht="20.149999999999999" customHeight="1" x14ac:dyDescent="0.35">
      <c r="A14" s="833"/>
      <c r="B14" s="46"/>
      <c r="C14" s="47"/>
      <c r="D14" s="47"/>
      <c r="E14" s="53"/>
      <c r="F14" s="47"/>
      <c r="G14" s="46"/>
      <c r="H14" s="46"/>
      <c r="I14" s="47"/>
      <c r="J14" s="19"/>
      <c r="K14" s="299" t="s">
        <v>70</v>
      </c>
      <c r="L14" s="300">
        <f>VLOOKUP(H10,Konstante!K$97:M$105,1+G$4,FALSE)</f>
        <v>1.3</v>
      </c>
      <c r="M14" s="299" t="s">
        <v>71</v>
      </c>
      <c r="N14" s="302">
        <f>VLOOKUP(H$7,Konstante!C$97:I$103,3,FALSE)</f>
        <v>5.0000000000000001E-3</v>
      </c>
      <c r="O14" s="299" t="s">
        <v>390</v>
      </c>
      <c r="P14" s="303">
        <f t="shared" ref="P14:P15" si="1">SUM(D43)</f>
        <v>0</v>
      </c>
      <c r="Q14" s="299" t="s">
        <v>389</v>
      </c>
      <c r="R14" s="303">
        <f>IF(SUM(F43)&lt;&gt;"",IF((SUM(F43)-SUM(D43)*Konstante!U$101)&gt;=0.5,ROUND((SUM(F43)-SUM(D43)*Konstante!U$101+Konstante!U$101/2-0.5)/Konstante!U$101,0),0),0)</f>
        <v>0</v>
      </c>
      <c r="S14" s="299" t="s">
        <v>388</v>
      </c>
      <c r="T14" s="303">
        <f t="shared" si="0"/>
        <v>0</v>
      </c>
      <c r="U14" s="326"/>
    </row>
    <row r="15" spans="1:23" s="2" customFormat="1" ht="20.149999999999999" customHeight="1" x14ac:dyDescent="0.25">
      <c r="A15" s="833"/>
      <c r="B15" s="46"/>
      <c r="C15" s="47"/>
      <c r="D15" s="47"/>
      <c r="E15" s="53"/>
      <c r="F15" s="47"/>
      <c r="G15" s="592" t="s">
        <v>633</v>
      </c>
      <c r="H15" s="46"/>
      <c r="I15" s="47"/>
      <c r="J15" s="19"/>
      <c r="K15" s="299" t="s">
        <v>72</v>
      </c>
      <c r="L15" s="300">
        <f>VLOOKUP(H11,Konstante!K$97:M$105,1+G$4,FALSE)</f>
        <v>1.3</v>
      </c>
      <c r="M15" s="299" t="s">
        <v>73</v>
      </c>
      <c r="N15" s="302">
        <f>VLOOKUP(H$7,Konstante!C$97:I$103,4,FALSE)</f>
        <v>8.5000000000000006E-3</v>
      </c>
      <c r="O15" s="299" t="s">
        <v>387</v>
      </c>
      <c r="P15" s="303">
        <f t="shared" si="1"/>
        <v>0</v>
      </c>
      <c r="Q15" s="299" t="s">
        <v>386</v>
      </c>
      <c r="R15" s="303">
        <f>IF(SUM(F44)&lt;&gt;"",IF((SUM(F44)-SUM(D44)*Konstante!U$101)&gt;=0.5,ROUND((SUM(F44)-SUM(D44)*Konstante!U$101+Konstante!U$101/2-0.5)/Konstante!U$101,0),0),0)</f>
        <v>0</v>
      </c>
      <c r="S15" s="299" t="s">
        <v>385</v>
      </c>
      <c r="T15" s="303">
        <f t="shared" si="0"/>
        <v>0</v>
      </c>
      <c r="U15" s="326"/>
    </row>
    <row r="16" spans="1:23" s="2" customFormat="1" ht="20.149999999999999" customHeight="1" x14ac:dyDescent="0.35">
      <c r="A16" s="833"/>
      <c r="B16" s="46"/>
      <c r="C16" s="47" t="s">
        <v>34</v>
      </c>
      <c r="D16" s="47"/>
      <c r="E16" s="320"/>
      <c r="F16" s="47"/>
      <c r="G16" s="868"/>
      <c r="H16" s="869"/>
      <c r="I16" s="47"/>
      <c r="J16" s="19"/>
      <c r="K16" s="299" t="s">
        <v>384</v>
      </c>
      <c r="L16" s="327">
        <f>SUM(F42)</f>
        <v>0</v>
      </c>
      <c r="M16" s="299" t="s">
        <v>74</v>
      </c>
      <c r="N16" s="302">
        <f>VLOOKUP(H$7,Konstante!C$97:I$103,5,FALSE)</f>
        <v>8.2000000000000007E-3</v>
      </c>
      <c r="O16" s="299" t="s">
        <v>45</v>
      </c>
      <c r="P16" s="303">
        <f>SUM(P13:P15)</f>
        <v>0</v>
      </c>
      <c r="Q16" s="299" t="s">
        <v>383</v>
      </c>
      <c r="R16" s="303">
        <f>SUM(R13:R15)</f>
        <v>0</v>
      </c>
      <c r="S16" s="299" t="s">
        <v>382</v>
      </c>
      <c r="T16" s="303">
        <f>P16+R16</f>
        <v>0</v>
      </c>
      <c r="U16" s="326"/>
    </row>
    <row r="17" spans="1:21" s="2" customFormat="1" ht="20.149999999999999" customHeight="1" x14ac:dyDescent="0.35">
      <c r="A17" s="833"/>
      <c r="B17" s="46"/>
      <c r="C17" s="47" t="s">
        <v>1</v>
      </c>
      <c r="D17" s="47"/>
      <c r="E17" s="321"/>
      <c r="F17" s="47"/>
      <c r="G17" s="867"/>
      <c r="H17" s="867"/>
      <c r="I17" s="47"/>
      <c r="J17" s="19"/>
      <c r="K17" s="299" t="s">
        <v>381</v>
      </c>
      <c r="L17" s="327">
        <f>SUM(F43)</f>
        <v>0</v>
      </c>
      <c r="M17" s="299" t="s">
        <v>75</v>
      </c>
      <c r="N17" s="302">
        <f>VLOOKUP(H$7,Konstante!C$97:I$103,6,FALSE)</f>
        <v>3.0000000000000001E-3</v>
      </c>
      <c r="S17" s="301"/>
      <c r="U17" s="326"/>
    </row>
    <row r="18" spans="1:21" s="2" customFormat="1" ht="20.149999999999999" customHeight="1" x14ac:dyDescent="0.35">
      <c r="A18" s="833"/>
      <c r="B18" s="46"/>
      <c r="C18" s="47"/>
      <c r="D18" s="47"/>
      <c r="E18" s="53"/>
      <c r="F18" s="47"/>
      <c r="G18" s="46"/>
      <c r="H18" s="46"/>
      <c r="I18" s="45"/>
      <c r="J18" s="19"/>
      <c r="K18" s="299" t="s">
        <v>380</v>
      </c>
      <c r="L18" s="327">
        <f>SUM(F44)</f>
        <v>0</v>
      </c>
      <c r="M18" s="299" t="s">
        <v>76</v>
      </c>
      <c r="N18" s="302">
        <f>VLOOKUP(H$7,Konstante!C$97:I$103,7,FALSE)</f>
        <v>1.2999999999999999E-3</v>
      </c>
      <c r="S18" s="301"/>
      <c r="T18" s="301"/>
      <c r="U18" s="326"/>
    </row>
    <row r="19" spans="1:21" ht="19.5" customHeight="1" x14ac:dyDescent="0.5">
      <c r="A19" s="833"/>
      <c r="B19" s="45"/>
      <c r="C19" s="54" t="str">
        <f>IF(F19=0, "UNVOLLSTÄNDIG AUSGEFÜLLT!","")</f>
        <v>UNVOLLSTÄNDIG AUSGEFÜLLT!</v>
      </c>
      <c r="D19" s="45"/>
      <c r="E19" s="45"/>
      <c r="F19" s="451">
        <f>IF(OR(D12&lt;1,F12&lt;0.01,D12="",F12="",(D9*l1_+D10*F10+D11*F11)&lt;0.01),0,1)</f>
        <v>0</v>
      </c>
      <c r="G19" s="852" t="str">
        <f>IF(F19&lt;&gt;0, G62,"")</f>
        <v/>
      </c>
      <c r="H19" s="852"/>
      <c r="I19" s="45"/>
      <c r="M19" s="296"/>
    </row>
    <row r="20" spans="1:21" ht="19.5" customHeight="1" x14ac:dyDescent="0.35">
      <c r="A20" s="833"/>
      <c r="B20" s="45"/>
      <c r="C20" s="45"/>
      <c r="D20" s="45"/>
      <c r="E20" s="45"/>
      <c r="F20" s="45"/>
      <c r="G20" s="45"/>
      <c r="H20" s="45"/>
      <c r="I20" s="45"/>
    </row>
    <row r="21" spans="1:21" ht="15.5" x14ac:dyDescent="0.35">
      <c r="A21" s="830" t="s">
        <v>66</v>
      </c>
      <c r="I21" s="577" t="str">
        <f ca="1">IF(VLOOKUP(B27,CHOOSE({5,4,3,2,1},Gesamt!L32:L65,Gesamt!M32:M65,Gesamt!N32:N65,Gesamt!O32:O65,Gesamt!P32:P65,),4,0)&gt;0,CONCATENATE("Pos. ",VLOOKUP(B27,CHOOSE({5,4,3,2,1},Gesamt!L32:L65,Gesamt!M32:M65,Gesamt!N32:N65,Gesamt!O32:O65,Gesamt!P32:P65,),VLOOKUP(Gesamt!C19,Gesamt!L5:N7,3,0),0)),"")</f>
        <v/>
      </c>
    </row>
    <row r="22" spans="1:21" x14ac:dyDescent="0.35">
      <c r="A22" s="830"/>
      <c r="B22" s="831" t="str">
        <f>CONCATENATE(Gesamt!C2, ": ", Gesamt!E2)</f>
        <v xml:space="preserve">Projekt: </v>
      </c>
      <c r="C22" s="831"/>
      <c r="D22" s="831"/>
      <c r="E22" s="831"/>
      <c r="F22" s="831"/>
      <c r="G22" s="831"/>
      <c r="H22" s="831"/>
      <c r="I22" s="831"/>
    </row>
    <row r="23" spans="1:21" x14ac:dyDescent="0.35">
      <c r="A23" s="830"/>
      <c r="B23" s="832" t="str">
        <f>CONCATENATE(Gesamt!C4, ": ", Gesamt!E4, IF(Gesamt!E5&lt;&gt;""," - ",""), IF(Gesamt!E5&lt;&gt;"",Gesamt!E5,""), IF(Gesamt!E6&lt;&gt;""," - GZ. ",""), IF(Gesamt!E6&lt;&gt;"",Gesamt!E6,""),)</f>
        <v xml:space="preserve">Auftraggeber: </v>
      </c>
      <c r="C23" s="832"/>
      <c r="D23" s="832"/>
      <c r="E23" s="832"/>
      <c r="F23" s="832"/>
      <c r="G23" s="832"/>
      <c r="H23" s="832"/>
      <c r="I23" s="832"/>
    </row>
    <row r="24" spans="1:21" x14ac:dyDescent="0.35">
      <c r="A24" s="830"/>
      <c r="B24" s="832" t="str">
        <f>CONCATENATE(Gesamt!C9, ": ",Gesamt!E9,  IF(Gesamt!C10&lt;&gt;""," - ",""), IF(Gesamt!C10&lt;&gt;"",Gesamt!E10,""), IF(Gesamt!C11&lt;&gt;""," - GZ. ",""), IF(Gesamt!C11&lt;&gt;"",Gesamt!E11,""), )</f>
        <v xml:space="preserve">Bieter:  -  - GZ. </v>
      </c>
      <c r="C24" s="832"/>
      <c r="D24" s="832"/>
      <c r="E24" s="832"/>
      <c r="F24" s="832"/>
      <c r="G24" s="832"/>
      <c r="H24" s="832"/>
      <c r="I24" s="832"/>
    </row>
    <row r="25" spans="1:21" x14ac:dyDescent="0.35">
      <c r="A25" s="830"/>
      <c r="B25" s="832" t="s">
        <v>41</v>
      </c>
      <c r="C25" s="832"/>
      <c r="D25" s="832"/>
      <c r="E25" s="832"/>
      <c r="F25" s="832"/>
      <c r="G25" s="832"/>
      <c r="H25" s="832"/>
      <c r="I25" s="832"/>
    </row>
    <row r="26" spans="1:21" x14ac:dyDescent="0.35">
      <c r="A26" s="830"/>
    </row>
    <row r="27" spans="1:21" s="9" customFormat="1" ht="23.25" customHeight="1" x14ac:dyDescent="0.35">
      <c r="A27" s="830"/>
      <c r="B27" s="843" t="str">
        <f>D2</f>
        <v>Herstellung von Profilen</v>
      </c>
      <c r="C27" s="843"/>
      <c r="D27" s="843"/>
      <c r="E27" s="843"/>
      <c r="F27" s="843"/>
      <c r="G27" s="843"/>
      <c r="H27" s="843"/>
      <c r="I27" s="843"/>
      <c r="J27" s="20"/>
      <c r="K27" s="304"/>
      <c r="L27" s="305"/>
      <c r="M27" s="306"/>
      <c r="N27" s="306"/>
      <c r="O27" s="306"/>
      <c r="P27" s="306"/>
      <c r="Q27" s="306"/>
      <c r="R27" s="20"/>
    </row>
    <row r="28" spans="1:21" x14ac:dyDescent="0.35">
      <c r="A28" s="830"/>
    </row>
    <row r="29" spans="1:21" x14ac:dyDescent="0.35">
      <c r="A29" s="830"/>
      <c r="C29" t="s">
        <v>693</v>
      </c>
    </row>
    <row r="30" spans="1:21" x14ac:dyDescent="0.35">
      <c r="A30" s="830"/>
    </row>
    <row r="31" spans="1:21" x14ac:dyDescent="0.35">
      <c r="A31" s="830"/>
      <c r="C31" t="s">
        <v>959</v>
      </c>
      <c r="E31" s="118">
        <f>IS</f>
        <v>0</v>
      </c>
    </row>
    <row r="32" spans="1:21" x14ac:dyDescent="0.35">
      <c r="A32" s="830"/>
    </row>
    <row r="33" spans="1:10" customFormat="1" x14ac:dyDescent="0.35">
      <c r="A33" s="830"/>
      <c r="J33" s="18"/>
    </row>
    <row r="34" spans="1:10" customFormat="1" ht="15.5" x14ac:dyDescent="0.35">
      <c r="A34" s="830"/>
      <c r="C34" s="11" t="str">
        <f>CONCATENATE(E5," von ", H4, " - ",F4,"en")</f>
        <v>Herauszeichnen aus bestehenden LH-Plänen von Gelände - Querprofilen</v>
      </c>
      <c r="J34" s="18"/>
    </row>
    <row r="35" spans="1:10" customFormat="1" x14ac:dyDescent="0.35">
      <c r="A35" s="830"/>
      <c r="C35" s="3" t="s">
        <v>379</v>
      </c>
      <c r="J35" s="18"/>
    </row>
    <row r="36" spans="1:10" customFormat="1" x14ac:dyDescent="0.35">
      <c r="A36" s="830"/>
      <c r="C36" s="291" t="str">
        <f>VLOOKUP(F4,Konstante!O97:X98,10,FALSE)</f>
        <v>Ha = [(F1*l)+Si(F2*li*si)+(0,28*n)+((l/n)^0,5)/3-1+(2/n^0,5)+Si(0,24*ni*si)]*IS*b+N</v>
      </c>
      <c r="J36" s="18"/>
    </row>
    <row r="37" spans="1:10" customFormat="1" x14ac:dyDescent="0.35">
      <c r="A37" s="830"/>
      <c r="J37" s="18"/>
    </row>
    <row r="38" spans="1:10" customFormat="1" x14ac:dyDescent="0.35">
      <c r="A38" s="830"/>
      <c r="C38" t="s">
        <v>58</v>
      </c>
      <c r="E38" s="28" t="str">
        <f>H7</f>
        <v>1:200</v>
      </c>
      <c r="J38" s="18"/>
    </row>
    <row r="39" spans="1:10" customFormat="1" x14ac:dyDescent="0.35">
      <c r="A39" s="830"/>
      <c r="C39" t="s">
        <v>67</v>
      </c>
      <c r="E39" s="295">
        <f>H6</f>
        <v>0.6</v>
      </c>
      <c r="J39" s="18"/>
    </row>
    <row r="40" spans="1:10" customFormat="1" x14ac:dyDescent="0.35">
      <c r="A40" s="830"/>
      <c r="J40" s="18"/>
    </row>
    <row r="41" spans="1:10" customFormat="1" ht="16.5" x14ac:dyDescent="0.35">
      <c r="A41" s="830"/>
      <c r="C41" s="2" t="s">
        <v>54</v>
      </c>
      <c r="D41" s="292"/>
      <c r="E41" s="932" t="s">
        <v>59</v>
      </c>
      <c r="F41" s="932"/>
      <c r="G41" s="933" t="s">
        <v>55</v>
      </c>
      <c r="H41" s="933"/>
      <c r="J41" s="18"/>
    </row>
    <row r="42" spans="1:10" customFormat="1" x14ac:dyDescent="0.35">
      <c r="A42" s="830"/>
      <c r="C42" s="28" t="str">
        <f>IF(AND($D9&gt;0,$F9&gt;0.05),"n1=","")</f>
        <v/>
      </c>
      <c r="D42" s="1" t="str">
        <f>IF(AND($D9&gt;0,$F9&gt;0.05),D9,"")</f>
        <v/>
      </c>
      <c r="E42" s="28" t="str">
        <f>IF(AND($D9&gt;0,$F9&gt;0.05),"l1=","")</f>
        <v/>
      </c>
      <c r="F42" s="109" t="str">
        <f>IF(AND($D9&gt;0,$F9&gt;0.05),F9,"")</f>
        <v/>
      </c>
      <c r="G42" s="28" t="str">
        <f>IF(AND($D9&gt;0,$F9&gt;0.05),"s1=","")</f>
        <v/>
      </c>
      <c r="H42" s="1" t="str">
        <f>IF(AND($D9&gt;0,$F9&gt;0.05),H9,"")</f>
        <v/>
      </c>
      <c r="J42" s="18"/>
    </row>
    <row r="43" spans="1:10" customFormat="1" x14ac:dyDescent="0.35">
      <c r="A43" s="830"/>
      <c r="C43" s="28" t="str">
        <f>IF(AND($D10&gt;0,$F10&gt;0.05),"n2=","")</f>
        <v/>
      </c>
      <c r="D43" s="1" t="str">
        <f>IF(AND($D10&gt;0,$F10&gt;0.05),D10,"")</f>
        <v/>
      </c>
      <c r="E43" s="28" t="str">
        <f>IF(AND($D10&gt;0,$F10&gt;0.05),"l2=","")</f>
        <v/>
      </c>
      <c r="F43" s="109" t="str">
        <f>IF(AND($D10&gt;0,$F10&gt;0.05),F10,"")</f>
        <v/>
      </c>
      <c r="G43" s="28" t="str">
        <f>IF(AND($D10&gt;0,$F10&gt;0.05),"s2=","")</f>
        <v/>
      </c>
      <c r="H43" s="1" t="str">
        <f t="shared" ref="H43" si="2">IF(AND($D10&gt;0,$F10&gt;0.05),H10,"")</f>
        <v/>
      </c>
      <c r="J43" s="18"/>
    </row>
    <row r="44" spans="1:10" customFormat="1" x14ac:dyDescent="0.35">
      <c r="A44" s="830"/>
      <c r="C44" s="28" t="str">
        <f>IF(AND($D11&gt;0,$F11&gt;0.05),"n3=","")</f>
        <v/>
      </c>
      <c r="D44" s="1" t="str">
        <f>IF(AND($D11&gt;0,$F11&gt;0.05),D11,"")</f>
        <v/>
      </c>
      <c r="E44" s="28" t="str">
        <f>IF(AND($D11&gt;0,$F11&gt;0.05),"l3=","")</f>
        <v/>
      </c>
      <c r="F44" s="109" t="str">
        <f>IF(AND($D11&gt;0,$F11&gt;0.05),F11,"")</f>
        <v/>
      </c>
      <c r="G44" s="28" t="str">
        <f>IF(AND($D11&gt;0,$F11&gt;0.05),"s3=","")</f>
        <v/>
      </c>
      <c r="H44" s="1" t="str">
        <f>IF(AND($D11&gt;0,$F11&gt;0.05),H11,"")</f>
        <v/>
      </c>
      <c r="J44" s="18"/>
    </row>
    <row r="45" spans="1:10" customFormat="1" x14ac:dyDescent="0.35">
      <c r="A45" s="830"/>
      <c r="C45" s="322" t="str">
        <f>IF(nplus&gt;0,"n-zusätzlich","")</f>
        <v/>
      </c>
      <c r="D45" s="323" t="str">
        <f>IF(nplus&gt;0,nplus,"")</f>
        <v/>
      </c>
      <c r="E45" s="323" t="str">
        <f>IF(nplus&gt;0,CONCATENATE("weil Profile durchschnittlich länger ",Konstante!U101,"m"),"")</f>
        <v/>
      </c>
      <c r="F45" s="324"/>
      <c r="G45" s="323"/>
      <c r="H45" s="323"/>
      <c r="J45" s="18"/>
    </row>
    <row r="46" spans="1:10" customFormat="1" x14ac:dyDescent="0.35">
      <c r="A46" s="830"/>
      <c r="C46" s="28" t="str">
        <f>IF(AND($D12&gt;0,$F12&gt;0.05),"n=","")</f>
        <v/>
      </c>
      <c r="D46" s="1" t="str">
        <f>IF(AND($D12&gt;0,$F12&gt;0.05),SUM(D42:D45),"")</f>
        <v/>
      </c>
      <c r="E46" s="28" t="str">
        <f>IF(AND($D12&gt;0,$F12&gt;0.05),"l=","")</f>
        <v/>
      </c>
      <c r="F46" s="109" t="str">
        <f>IF(AND($D12&gt;0,$F12&gt;0.05),SUM(F42:F44),"")</f>
        <v/>
      </c>
      <c r="H46" s="55"/>
      <c r="J46" s="18"/>
    </row>
    <row r="47" spans="1:10" customFormat="1" x14ac:dyDescent="0.35">
      <c r="A47" s="830"/>
      <c r="E47" s="293" t="str">
        <f>IF(AND($D12&gt;0,$F12&gt;0.05),"durchschnittliche Profillänge=","")</f>
        <v/>
      </c>
      <c r="F47" s="294" t="str">
        <f>IF(F19&gt;0,(F46/SUM(D42:D44)),"")</f>
        <v/>
      </c>
      <c r="J47" s="18"/>
    </row>
    <row r="48" spans="1:10" customFormat="1" x14ac:dyDescent="0.35">
      <c r="A48" s="830"/>
      <c r="J48" s="18"/>
    </row>
    <row r="49" spans="1:18" s="3" customFormat="1" x14ac:dyDescent="0.35">
      <c r="A49" s="830"/>
      <c r="C49" s="3" t="s">
        <v>60</v>
      </c>
      <c r="F49" s="22" t="str">
        <f ca="1">INDIRECT("L"&amp;SUM(7,VLOOKUP(F$4,Konstante!O$97:P$98,2,FALSE)))</f>
        <v/>
      </c>
      <c r="J49" s="23"/>
      <c r="K49" s="310"/>
      <c r="L49" s="311"/>
      <c r="M49" s="312"/>
      <c r="N49" s="312"/>
      <c r="O49" s="312"/>
      <c r="P49" s="312"/>
      <c r="Q49" s="312"/>
      <c r="R49" s="23"/>
    </row>
    <row r="50" spans="1:18" x14ac:dyDescent="0.35">
      <c r="A50" s="830"/>
      <c r="F50" s="22"/>
    </row>
    <row r="51" spans="1:18" x14ac:dyDescent="0.35">
      <c r="A51" s="830"/>
      <c r="F51" s="28"/>
    </row>
    <row r="52" spans="1:18" x14ac:dyDescent="0.35">
      <c r="A52" s="830"/>
      <c r="C52" s="3" t="s">
        <v>1142</v>
      </c>
      <c r="F52" s="28"/>
    </row>
    <row r="53" spans="1:18" x14ac:dyDescent="0.35">
      <c r="A53" s="830"/>
      <c r="C53" s="291" t="str">
        <f>Konstante!X99</f>
        <v>Hc = [(F5*l)+Si(F6*li*si)+(0,19*n)+((l/n)^0,25/6)-1+(1/n^0,25)]*IS+N</v>
      </c>
      <c r="F53" s="28"/>
    </row>
    <row r="54" spans="1:18" x14ac:dyDescent="0.35">
      <c r="A54" s="830"/>
      <c r="F54" s="28"/>
    </row>
    <row r="55" spans="1:18" s="3" customFormat="1" x14ac:dyDescent="0.35">
      <c r="A55" s="830"/>
      <c r="C55" s="3" t="s">
        <v>60</v>
      </c>
      <c r="F55" s="22" t="str">
        <f>Hc</f>
        <v/>
      </c>
      <c r="J55" s="23"/>
      <c r="K55" s="310"/>
      <c r="L55" s="311"/>
      <c r="M55" s="312"/>
      <c r="N55" s="312"/>
      <c r="O55" s="312"/>
      <c r="P55" s="312"/>
      <c r="Q55" s="312"/>
      <c r="R55" s="23"/>
    </row>
    <row r="56" spans="1:18" x14ac:dyDescent="0.35">
      <c r="A56" s="830"/>
      <c r="F56" s="28"/>
    </row>
    <row r="57" spans="1:18" x14ac:dyDescent="0.35">
      <c r="A57" s="830"/>
      <c r="F57" s="28"/>
    </row>
    <row r="58" spans="1:18" x14ac:dyDescent="0.35">
      <c r="A58" s="830"/>
      <c r="C58" t="str">
        <f>IF(AND(E16&lt;&gt;0,F19&lt;&gt;0),"Zu-/Abschlag:","")</f>
        <v/>
      </c>
      <c r="E58" s="15" t="str">
        <f>IF(AND(E16&lt;&gt;0,F19&lt;&gt;0),E16,"")</f>
        <v/>
      </c>
      <c r="F58" s="17" t="str">
        <f>IF(AND(E16&lt;&gt;0,F19&lt;&gt;0),(F49+F55)*E58,"")</f>
        <v/>
      </c>
      <c r="G58" s="1" t="str">
        <f>IF(AND(E16&lt;&gt;0,F19&lt;&gt;0,G16&lt;&gt;""),G16,"")</f>
        <v/>
      </c>
    </row>
    <row r="59" spans="1:18" x14ac:dyDescent="0.35">
      <c r="A59" s="830"/>
      <c r="C59" t="str">
        <f>IF(AND(E17&lt;&gt;0,F19&lt;&gt;0),"Nebenkosten:","")</f>
        <v/>
      </c>
      <c r="F59" s="17" t="str">
        <f>IF(AND(E17&lt;&gt;0,F19&lt;&gt;0),E17,"")</f>
        <v/>
      </c>
      <c r="G59" s="1" t="str">
        <f>IF(AND(E17&lt;&gt;0,F19&lt;&gt;0,G17&lt;&gt;""),G17,"")</f>
        <v/>
      </c>
    </row>
    <row r="60" spans="1:18" x14ac:dyDescent="0.35">
      <c r="A60" s="830"/>
      <c r="C60" s="78"/>
      <c r="D60" s="78"/>
      <c r="E60" s="78"/>
      <c r="F60" s="78"/>
      <c r="G60" s="78"/>
      <c r="H60" s="78"/>
    </row>
    <row r="61" spans="1:18" s="16" customFormat="1" ht="15.5" x14ac:dyDescent="0.35">
      <c r="A61" s="830"/>
      <c r="C61"/>
      <c r="D61"/>
      <c r="E61"/>
      <c r="F61"/>
      <c r="G61"/>
      <c r="H61"/>
      <c r="J61" s="21"/>
      <c r="K61" s="307"/>
      <c r="L61" s="308"/>
      <c r="M61" s="309"/>
      <c r="N61" s="309"/>
      <c r="O61" s="309"/>
      <c r="P61" s="309"/>
      <c r="Q61" s="309"/>
      <c r="R61" s="21"/>
    </row>
    <row r="62" spans="1:18" ht="15.5" x14ac:dyDescent="0.35">
      <c r="A62" s="830"/>
      <c r="C62" s="16" t="s">
        <v>65</v>
      </c>
      <c r="D62" s="16"/>
      <c r="E62" s="16"/>
      <c r="F62" s="16"/>
      <c r="G62" s="842">
        <f>IF(F19&gt;0,SUM(F49,F55,F58,F59),0)</f>
        <v>0</v>
      </c>
      <c r="H62" s="842"/>
    </row>
    <row r="63" spans="1:18" x14ac:dyDescent="0.35">
      <c r="A63" s="830"/>
    </row>
    <row r="64" spans="1:18" x14ac:dyDescent="0.35">
      <c r="A64" s="830"/>
    </row>
    <row r="65" spans="1:18" x14ac:dyDescent="0.35">
      <c r="A65" s="830"/>
      <c r="J65"/>
      <c r="K65"/>
      <c r="L65"/>
      <c r="M65"/>
      <c r="N65"/>
      <c r="O65"/>
      <c r="P65"/>
      <c r="Q65"/>
      <c r="R65"/>
    </row>
    <row r="66" spans="1:18" x14ac:dyDescent="0.35">
      <c r="A66" s="830"/>
      <c r="J66"/>
      <c r="K66"/>
      <c r="L66"/>
      <c r="M66"/>
      <c r="N66"/>
      <c r="O66"/>
      <c r="P66"/>
      <c r="Q66"/>
      <c r="R66"/>
    </row>
    <row r="67" spans="1:18" x14ac:dyDescent="0.35">
      <c r="A67" s="830"/>
      <c r="J67"/>
      <c r="K67"/>
      <c r="L67"/>
      <c r="M67"/>
      <c r="N67"/>
      <c r="O67"/>
      <c r="P67"/>
      <c r="Q67"/>
      <c r="R67"/>
    </row>
    <row r="68" spans="1:18" x14ac:dyDescent="0.35">
      <c r="A68" s="830"/>
      <c r="J68"/>
      <c r="K68"/>
      <c r="L68"/>
      <c r="M68"/>
      <c r="N68"/>
      <c r="O68"/>
      <c r="P68"/>
      <c r="Q68"/>
      <c r="R68"/>
    </row>
    <row r="69" spans="1:18" x14ac:dyDescent="0.35">
      <c r="A69" s="830"/>
      <c r="J69"/>
      <c r="K69"/>
      <c r="L69"/>
      <c r="M69"/>
      <c r="N69"/>
      <c r="O69"/>
      <c r="P69"/>
      <c r="Q69"/>
      <c r="R69"/>
    </row>
  </sheetData>
  <mergeCells count="18">
    <mergeCell ref="E41:F41"/>
    <mergeCell ref="G41:H41"/>
    <mergeCell ref="A21:A69"/>
    <mergeCell ref="G19:H19"/>
    <mergeCell ref="B27:I27"/>
    <mergeCell ref="A1:A20"/>
    <mergeCell ref="E5:H5"/>
    <mergeCell ref="D2:H2"/>
    <mergeCell ref="G62:H62"/>
    <mergeCell ref="O12:T12"/>
    <mergeCell ref="K5:N6"/>
    <mergeCell ref="B25:I25"/>
    <mergeCell ref="B22:I22"/>
    <mergeCell ref="B23:I23"/>
    <mergeCell ref="B24:I24"/>
    <mergeCell ref="G17:H17"/>
    <mergeCell ref="G8:H8"/>
    <mergeCell ref="G16:H16"/>
  </mergeCells>
  <dataValidations count="4">
    <dataValidation type="whole" operator="greaterThan" allowBlank="1" showInputMessage="1" showErrorMessage="1" sqref="D9:D11" xr:uid="{00000000-0002-0000-1100-000000000000}">
      <formula1>0</formula1>
    </dataValidation>
    <dataValidation type="decimal" operator="greaterThan" allowBlank="1" showInputMessage="1" showErrorMessage="1" error="Profillänge muss größer 0 sein!" sqref="F9:F11" xr:uid="{00000000-0002-0000-1100-000001000000}">
      <formula1>0</formula1>
    </dataValidation>
    <dataValidation type="decimal" operator="greaterThan" showInputMessage="1" showErrorMessage="1" sqref="E16" xr:uid="{00000000-0002-0000-1100-000002000000}">
      <formula1>-1000</formula1>
    </dataValidation>
    <dataValidation type="decimal" operator="greaterThan" allowBlank="1" showInputMessage="1" showErrorMessage="1" sqref="E17" xr:uid="{00000000-0002-0000-1100-000003000000}">
      <formula1>-1000000</formula1>
    </dataValidation>
  </dataValidations>
  <pageMargins left="0.70866141732283472" right="0.39370078740157483" top="0.59055118110236227" bottom="0.59055118110236227" header="0.31496062992125984" footer="0.31496062992125984"/>
  <pageSetup paperSize="9" orientation="portrait" r:id="rId1"/>
  <headerFooter>
    <oddFooter>&amp;L&amp;9&amp;F, &amp;A&amp;R&amp;9&amp;D</oddFooter>
  </headerFooter>
  <legacyDrawing r:id="rId2"/>
  <legacyDrawingHF r:id="rId3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00000000-0002-0000-1100-000004000000}">
          <x14:formula1>
            <xm:f>Konstante!$C$97:$C$103</xm:f>
          </x14:formula1>
          <xm:sqref>H7</xm:sqref>
        </x14:dataValidation>
        <x14:dataValidation type="list" allowBlank="1" showInputMessage="1" showErrorMessage="1" xr:uid="{00000000-0002-0000-1100-000005000000}">
          <x14:formula1>
            <xm:f>Konstante!$Q$97:$Q$98</xm:f>
          </x14:formula1>
          <xm:sqref>H4</xm:sqref>
        </x14:dataValidation>
        <x14:dataValidation type="list" allowBlank="1" showInputMessage="1" showErrorMessage="1" xr:uid="{00000000-0002-0000-1100-000006000000}">
          <x14:formula1>
            <xm:f>Konstante!$O$97:$O$98</xm:f>
          </x14:formula1>
          <xm:sqref>F4</xm:sqref>
        </x14:dataValidation>
        <x14:dataValidation type="list" allowBlank="1" showInputMessage="1" showErrorMessage="1" xr:uid="{00000000-0002-0000-1100-000007000000}">
          <x14:formula1>
            <xm:f>Konstante!$S$97:$S$98</xm:f>
          </x14:formula1>
          <xm:sqref>E5:H5</xm:sqref>
        </x14:dataValidation>
        <x14:dataValidation type="list" allowBlank="1" showInputMessage="1" showErrorMessage="1" xr:uid="{00000000-0002-0000-1100-000008000000}">
          <x14:formula1>
            <xm:f>Konstante!$K$97:$K$105</xm:f>
          </x14:formula1>
          <xm:sqref>H9:H11</xm:sqref>
        </x14:dataValidation>
      </x14:dataValidations>
    </ext>
  </extLst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20"/>
  <dimension ref="A1:R67"/>
  <sheetViews>
    <sheetView topLeftCell="A3" zoomScaleNormal="100" zoomScaleSheetLayoutView="100" workbookViewId="0">
      <selection activeCell="C8" sqref="C8"/>
    </sheetView>
  </sheetViews>
  <sheetFormatPr baseColWidth="10" defaultRowHeight="14.5" x14ac:dyDescent="0.35"/>
  <cols>
    <col min="1" max="1" width="4" customWidth="1"/>
    <col min="2" max="2" width="6.7265625" customWidth="1"/>
    <col min="3" max="8" width="12.7265625" customWidth="1"/>
    <col min="9" max="9" width="5.7265625" customWidth="1"/>
    <col min="10" max="10" width="8.7265625" style="18" customWidth="1"/>
    <col min="11" max="11" width="11.453125" style="92"/>
    <col min="12" max="13" width="11.453125" style="93"/>
    <col min="14" max="15" width="11.453125" style="94"/>
    <col min="17" max="17" width="11.453125" style="141"/>
  </cols>
  <sheetData>
    <row r="1" spans="1:18" ht="17.25" customHeight="1" x14ac:dyDescent="0.35">
      <c r="A1" s="833" t="s">
        <v>35</v>
      </c>
      <c r="B1" s="45"/>
      <c r="C1" s="45"/>
      <c r="D1" s="45"/>
      <c r="E1" s="45"/>
      <c r="F1" s="45"/>
      <c r="G1" s="45"/>
      <c r="H1" s="45"/>
      <c r="I1" s="45"/>
      <c r="K1" s="93" t="s">
        <v>699</v>
      </c>
      <c r="N1" s="94">
        <f ca="1">CELL("ZEILE",B28)</f>
        <v>28</v>
      </c>
    </row>
    <row r="2" spans="1:18" ht="22.5" customHeight="1" x14ac:dyDescent="0.35">
      <c r="A2" s="833"/>
      <c r="B2" s="46"/>
      <c r="C2" s="47" t="s">
        <v>36</v>
      </c>
      <c r="D2" s="848" t="s">
        <v>97</v>
      </c>
      <c r="E2" s="849"/>
      <c r="F2" s="849"/>
      <c r="G2" s="849"/>
      <c r="H2" s="850"/>
      <c r="I2" s="45"/>
      <c r="K2" s="175" t="s">
        <v>700</v>
      </c>
      <c r="L2" s="155"/>
      <c r="M2" s="155"/>
      <c r="N2" s="175">
        <f ca="1">CELL("ZEILE",G61)</f>
        <v>61</v>
      </c>
      <c r="O2" s="175"/>
    </row>
    <row r="3" spans="1:18" ht="22.5" customHeight="1" x14ac:dyDescent="0.35">
      <c r="A3" s="833"/>
      <c r="B3" s="46"/>
      <c r="C3" s="61"/>
      <c r="D3" s="938"/>
      <c r="E3" s="939"/>
      <c r="F3" s="939"/>
      <c r="G3" s="939"/>
      <c r="H3" s="940"/>
      <c r="I3" s="45"/>
      <c r="K3" s="175" t="s">
        <v>701</v>
      </c>
      <c r="L3" s="155"/>
      <c r="M3" s="155"/>
      <c r="N3" s="175">
        <f>F20</f>
        <v>0</v>
      </c>
      <c r="O3" s="175"/>
    </row>
    <row r="4" spans="1:18" ht="17.25" customHeight="1" x14ac:dyDescent="0.35">
      <c r="A4" s="833"/>
      <c r="B4" s="46"/>
      <c r="C4" s="70" t="s">
        <v>171</v>
      </c>
      <c r="D4" s="908" t="s">
        <v>192</v>
      </c>
      <c r="E4" s="908"/>
      <c r="F4" s="908"/>
      <c r="G4" s="908"/>
      <c r="H4" s="888"/>
      <c r="I4" s="45"/>
      <c r="K4" s="175">
        <f>VLOOKUP(D4,Konstante!P113:Q118,2,FALSE)</f>
        <v>1</v>
      </c>
      <c r="L4" s="155"/>
      <c r="M4" s="155" t="s">
        <v>138</v>
      </c>
      <c r="N4" s="175"/>
      <c r="O4" s="175"/>
    </row>
    <row r="5" spans="1:18" ht="17.25" customHeight="1" x14ac:dyDescent="0.35">
      <c r="A5" s="833"/>
      <c r="B5" s="46"/>
      <c r="C5" s="63"/>
      <c r="D5" s="14"/>
      <c r="E5" s="14"/>
      <c r="F5" s="14"/>
      <c r="G5" s="14"/>
      <c r="H5" s="64"/>
      <c r="I5" s="45"/>
      <c r="K5" s="94"/>
      <c r="M5" s="155" t="s">
        <v>139</v>
      </c>
    </row>
    <row r="6" spans="1:18" s="2" customFormat="1" ht="20.149999999999999" customHeight="1" x14ac:dyDescent="0.35">
      <c r="A6" s="833"/>
      <c r="B6" s="46"/>
      <c r="C6" s="943" t="s">
        <v>182</v>
      </c>
      <c r="D6" s="937" t="s">
        <v>181</v>
      </c>
      <c r="E6" s="937" t="s">
        <v>203</v>
      </c>
      <c r="F6" s="943" t="s">
        <v>148</v>
      </c>
      <c r="G6" s="943" t="s">
        <v>199</v>
      </c>
      <c r="H6" s="941" t="s">
        <v>184</v>
      </c>
      <c r="I6" s="46"/>
      <c r="J6" s="19"/>
      <c r="K6" s="98"/>
      <c r="L6" s="98"/>
      <c r="M6" s="100"/>
      <c r="N6" s="98"/>
      <c r="O6" s="98"/>
      <c r="Q6" s="813"/>
    </row>
    <row r="7" spans="1:18" s="2" customFormat="1" ht="20.149999999999999" customHeight="1" x14ac:dyDescent="0.35">
      <c r="A7" s="833"/>
      <c r="B7" s="46"/>
      <c r="C7" s="943"/>
      <c r="D7" s="937"/>
      <c r="E7" s="937"/>
      <c r="F7" s="943"/>
      <c r="G7" s="943"/>
      <c r="H7" s="941"/>
      <c r="I7" s="46"/>
      <c r="J7" s="19"/>
      <c r="K7" s="427" t="s">
        <v>190</v>
      </c>
      <c r="L7" s="427" t="s">
        <v>200</v>
      </c>
      <c r="M7" s="427" t="s">
        <v>180</v>
      </c>
      <c r="N7" s="427" t="s">
        <v>343</v>
      </c>
      <c r="O7" s="427" t="s">
        <v>252</v>
      </c>
      <c r="P7" s="132"/>
      <c r="R7" s="813"/>
    </row>
    <row r="8" spans="1:18" s="2" customFormat="1" ht="20.149999999999999" customHeight="1" x14ac:dyDescent="0.35">
      <c r="A8" s="833"/>
      <c r="B8" s="46"/>
      <c r="C8" s="595"/>
      <c r="D8" s="596">
        <v>10</v>
      </c>
      <c r="E8" s="597">
        <v>1</v>
      </c>
      <c r="F8" s="71" t="s">
        <v>20</v>
      </c>
      <c r="G8" s="71" t="s">
        <v>139</v>
      </c>
      <c r="H8" s="194"/>
      <c r="I8" s="46"/>
      <c r="J8" s="19"/>
      <c r="K8" s="98">
        <f>VLOOKUP(E8,Konstante!$M$113:$N$117,2,FALSE)</f>
        <v>1</v>
      </c>
      <c r="L8" s="98">
        <f>VLOOKUP(F8,Konstante!$C$112:$H$120,VLOOKUP(D8,Konstante!$J$112:$K$116,2,FALSE),FALSE)</f>
        <v>0.76900000000000002</v>
      </c>
      <c r="M8" s="193">
        <f>IF(G8="ja",1.1,1)</f>
        <v>1</v>
      </c>
      <c r="N8" s="98">
        <f>IF(P8&gt;0.1,C8,0)</f>
        <v>0</v>
      </c>
      <c r="O8" s="98">
        <f t="shared" ref="O8:O13" si="0">IF(C8&gt;=1,H8,0)</f>
        <v>0</v>
      </c>
      <c r="P8" s="132">
        <f>IF(AND(C8&gt;0,H$14&gt;=1),(2.5*O8+K8*L8*C8^0.8*$K$4)*M8*IS,0)</f>
        <v>0</v>
      </c>
      <c r="R8" s="818" t="e">
        <f t="shared" ref="R8:R13" si="1">P8/C8</f>
        <v>#DIV/0!</v>
      </c>
    </row>
    <row r="9" spans="1:18" s="2" customFormat="1" ht="20.149999999999999" customHeight="1" x14ac:dyDescent="0.35">
      <c r="A9" s="833"/>
      <c r="B9" s="46"/>
      <c r="C9" s="595"/>
      <c r="D9" s="596">
        <v>10</v>
      </c>
      <c r="E9" s="597">
        <v>1</v>
      </c>
      <c r="F9" s="71" t="s">
        <v>20</v>
      </c>
      <c r="G9" s="71" t="s">
        <v>139</v>
      </c>
      <c r="H9" s="194"/>
      <c r="I9" s="46"/>
      <c r="J9" s="19"/>
      <c r="K9" s="98">
        <f>VLOOKUP(E9,Konstante!$M$113:$N$117,2,FALSE)</f>
        <v>1</v>
      </c>
      <c r="L9" s="98">
        <f>VLOOKUP(F9,Konstante!$C$112:$H$120,VLOOKUP(D9,Konstante!$J$112:$K$116,2,FALSE),FALSE)</f>
        <v>0.76900000000000002</v>
      </c>
      <c r="M9" s="193">
        <f t="shared" ref="M9:M11" si="2">IF(G9="ja",1.1,1)</f>
        <v>1</v>
      </c>
      <c r="N9" s="98">
        <f t="shared" ref="N9:N13" si="3">IF(P9&gt;0.1,C9,0)</f>
        <v>0</v>
      </c>
      <c r="O9" s="98">
        <f t="shared" si="0"/>
        <v>0</v>
      </c>
      <c r="P9" s="132">
        <f>IF(AND(C9&gt;0,H$14&gt;=1),(2.5*H9+K9*L9*C9^0.8*$K$4)*M9*IS,0)</f>
        <v>0</v>
      </c>
      <c r="R9" s="818" t="e">
        <f t="shared" si="1"/>
        <v>#DIV/0!</v>
      </c>
    </row>
    <row r="10" spans="1:18" s="2" customFormat="1" ht="20.149999999999999" customHeight="1" x14ac:dyDescent="0.35">
      <c r="A10" s="833"/>
      <c r="B10" s="46"/>
      <c r="C10" s="595"/>
      <c r="D10" s="596">
        <v>10</v>
      </c>
      <c r="E10" s="597">
        <v>1</v>
      </c>
      <c r="F10" s="71" t="s">
        <v>20</v>
      </c>
      <c r="G10" s="71" t="s">
        <v>139</v>
      </c>
      <c r="H10" s="194"/>
      <c r="I10" s="46"/>
      <c r="J10" s="19"/>
      <c r="K10" s="98">
        <f>VLOOKUP(E10,Konstante!$M$113:$N$117,2,FALSE)</f>
        <v>1</v>
      </c>
      <c r="L10" s="98">
        <f>VLOOKUP(F10,Konstante!$C$112:$H$120,VLOOKUP(D10,Konstante!$J$112:$K$116,2,FALSE),FALSE)</f>
        <v>0.76900000000000002</v>
      </c>
      <c r="M10" s="193">
        <f t="shared" si="2"/>
        <v>1</v>
      </c>
      <c r="N10" s="98">
        <f t="shared" si="3"/>
        <v>0</v>
      </c>
      <c r="O10" s="98">
        <f t="shared" si="0"/>
        <v>0</v>
      </c>
      <c r="P10" s="132">
        <f>IF(AND(C10&gt;0,H$14&gt;=1),(2.5*H10+K10*L10*C10^0.8*$K$4)*M10*IS,0)</f>
        <v>0</v>
      </c>
      <c r="R10" s="818" t="e">
        <f t="shared" si="1"/>
        <v>#DIV/0!</v>
      </c>
    </row>
    <row r="11" spans="1:18" s="2" customFormat="1" ht="20.149999999999999" customHeight="1" x14ac:dyDescent="0.35">
      <c r="A11" s="833"/>
      <c r="B11" s="46"/>
      <c r="C11" s="595"/>
      <c r="D11" s="596">
        <v>10</v>
      </c>
      <c r="E11" s="597">
        <v>1</v>
      </c>
      <c r="F11" s="71" t="s">
        <v>20</v>
      </c>
      <c r="G11" s="71" t="s">
        <v>139</v>
      </c>
      <c r="H11" s="194"/>
      <c r="I11" s="46"/>
      <c r="J11" s="19"/>
      <c r="K11" s="98">
        <f>VLOOKUP(E11,Konstante!$M$113:$N$117,2,FALSE)</f>
        <v>1</v>
      </c>
      <c r="L11" s="98">
        <f>VLOOKUP(F11,Konstante!$C$112:$H$120,VLOOKUP(D11,Konstante!$J$112:$K$116,2,FALSE),FALSE)</f>
        <v>0.76900000000000002</v>
      </c>
      <c r="M11" s="193">
        <f t="shared" si="2"/>
        <v>1</v>
      </c>
      <c r="N11" s="98">
        <f t="shared" si="3"/>
        <v>0</v>
      </c>
      <c r="O11" s="98">
        <f t="shared" si="0"/>
        <v>0</v>
      </c>
      <c r="P11" s="132">
        <f>IF(AND(C11&gt;0,H$14&gt;=1),(2.5*H11+K11*L11*C11^0.8*$K$4)*M11*IS,0)</f>
        <v>0</v>
      </c>
      <c r="R11" s="818" t="e">
        <f t="shared" si="1"/>
        <v>#DIV/0!</v>
      </c>
    </row>
    <row r="12" spans="1:18" s="2" customFormat="1" ht="20.149999999999999" customHeight="1" x14ac:dyDescent="0.35">
      <c r="A12" s="833"/>
      <c r="B12" s="46"/>
      <c r="C12" s="595"/>
      <c r="D12" s="596">
        <v>10</v>
      </c>
      <c r="E12" s="597">
        <v>1</v>
      </c>
      <c r="F12" s="71" t="s">
        <v>20</v>
      </c>
      <c r="G12" s="71" t="s">
        <v>139</v>
      </c>
      <c r="H12" s="194"/>
      <c r="I12" s="47"/>
      <c r="J12" s="19"/>
      <c r="K12" s="98">
        <f>VLOOKUP(E12,Konstante!$M$113:$N$117,2,FALSE)</f>
        <v>1</v>
      </c>
      <c r="L12" s="98">
        <f>VLOOKUP(F12,Konstante!$C$112:$H$120,VLOOKUP(D12,Konstante!$J$112:$K$116,2,FALSE),FALSE)</f>
        <v>0.76900000000000002</v>
      </c>
      <c r="M12" s="193">
        <f t="shared" ref="M12:M13" si="4">IF(G12="ja",1.1,1)</f>
        <v>1</v>
      </c>
      <c r="N12" s="98">
        <f t="shared" si="3"/>
        <v>0</v>
      </c>
      <c r="O12" s="98">
        <f t="shared" si="0"/>
        <v>0</v>
      </c>
      <c r="P12" s="132">
        <f>IF(AND(C12&gt;0,H$14&gt;=1),(2.5*H12+K12*L12*C12^0.8*$K$4)*M12*IS,0)</f>
        <v>0</v>
      </c>
      <c r="R12" s="818" t="e">
        <f t="shared" si="1"/>
        <v>#DIV/0!</v>
      </c>
    </row>
    <row r="13" spans="1:18" s="2" customFormat="1" ht="20.149999999999999" customHeight="1" x14ac:dyDescent="0.35">
      <c r="A13" s="833"/>
      <c r="B13" s="45"/>
      <c r="C13" s="595"/>
      <c r="D13" s="596">
        <v>10</v>
      </c>
      <c r="E13" s="597">
        <v>1</v>
      </c>
      <c r="F13" s="71" t="s">
        <v>20</v>
      </c>
      <c r="G13" s="71" t="s">
        <v>139</v>
      </c>
      <c r="H13" s="194"/>
      <c r="I13" s="47"/>
      <c r="J13" s="19"/>
      <c r="K13" s="98">
        <f>VLOOKUP(E13,Konstante!$M$113:$N$117,2,FALSE)</f>
        <v>1</v>
      </c>
      <c r="L13" s="98">
        <f>VLOOKUP(F13,Konstante!$C$112:$H$120,VLOOKUP(D13,Konstante!$J$112:$K$116,2,FALSE),FALSE)</f>
        <v>0.76900000000000002</v>
      </c>
      <c r="M13" s="193">
        <f t="shared" si="4"/>
        <v>1</v>
      </c>
      <c r="N13" s="98">
        <f t="shared" si="3"/>
        <v>0</v>
      </c>
      <c r="O13" s="98">
        <f t="shared" si="0"/>
        <v>0</v>
      </c>
      <c r="P13" s="132">
        <f>IF(AND(C13&gt;0,H$14&gt;=1),(2.5*H13+K13*L13*C13^0.8*$K$4)*M13*IS,0)</f>
        <v>0</v>
      </c>
      <c r="R13" s="818" t="e">
        <f t="shared" si="1"/>
        <v>#DIV/0!</v>
      </c>
    </row>
    <row r="14" spans="1:18" s="2" customFormat="1" ht="20.149999999999999" customHeight="1" x14ac:dyDescent="0.35">
      <c r="A14" s="833"/>
      <c r="B14" s="46"/>
      <c r="C14" s="600">
        <f>N14</f>
        <v>0</v>
      </c>
      <c r="D14" s="195" t="str">
        <f>IF(N14&gt;1,"Punkte","Punkt")</f>
        <v>Punkt</v>
      </c>
      <c r="E14" s="195"/>
      <c r="F14" s="195"/>
      <c r="G14" s="196" t="s">
        <v>842</v>
      </c>
      <c r="H14" s="810">
        <f>O14</f>
        <v>0</v>
      </c>
      <c r="I14" s="47"/>
      <c r="J14" s="19"/>
      <c r="K14" s="98"/>
      <c r="L14" s="145"/>
      <c r="M14" s="100"/>
      <c r="N14" s="812">
        <f>SUM(N8:N13)</f>
        <v>0</v>
      </c>
      <c r="O14" s="812">
        <f>SUM(O8:O13)</f>
        <v>0</v>
      </c>
      <c r="P14" s="482">
        <f>IF(F20&lt;&gt;0,SUM(P8:P13),0)</f>
        <v>0</v>
      </c>
      <c r="R14" s="813"/>
    </row>
    <row r="15" spans="1:18" s="2" customFormat="1" ht="20.149999999999999" customHeight="1" x14ac:dyDescent="0.35">
      <c r="A15" s="833"/>
      <c r="B15" s="46"/>
      <c r="C15" s="748" t="str">
        <f>IF(N14&gt;0,IF(N14/O14&gt;N15,"unplausibel kleine Anzahl an Einsätzen",""),"")</f>
        <v/>
      </c>
      <c r="D15" s="14"/>
      <c r="E15" s="14"/>
      <c r="F15" s="14"/>
      <c r="G15" s="70"/>
      <c r="H15" s="811" t="str">
        <f>IF(H14&lt;1, "Summe der Einsätze muss &gt;=1 sein","")</f>
        <v>Summe der Einsätze muss &gt;=1 sein</v>
      </c>
      <c r="I15" s="47"/>
      <c r="J15" s="19"/>
      <c r="K15" s="797" t="s">
        <v>1143</v>
      </c>
      <c r="L15" s="801"/>
      <c r="M15" s="808"/>
      <c r="N15" s="808">
        <v>200</v>
      </c>
      <c r="O15" s="98"/>
      <c r="Q15" s="813"/>
    </row>
    <row r="16" spans="1:18" s="2" customFormat="1" ht="20.149999999999999" customHeight="1" x14ac:dyDescent="0.35">
      <c r="A16" s="833"/>
      <c r="B16" s="46"/>
      <c r="C16" s="63"/>
      <c r="D16" s="14"/>
      <c r="E16" s="14"/>
      <c r="F16" s="468" t="s">
        <v>633</v>
      </c>
      <c r="G16" s="14"/>
      <c r="H16" s="64"/>
      <c r="I16" s="47"/>
      <c r="J16" s="19"/>
      <c r="O16" s="98"/>
      <c r="Q16" s="813"/>
    </row>
    <row r="17" spans="1:17" s="2" customFormat="1" ht="20.149999999999999" customHeight="1" x14ac:dyDescent="0.35">
      <c r="A17" s="833"/>
      <c r="B17" s="46"/>
      <c r="C17" s="72" t="s">
        <v>562</v>
      </c>
      <c r="D17" s="465"/>
      <c r="E17" s="47"/>
      <c r="F17" s="868"/>
      <c r="G17" s="869"/>
      <c r="H17" s="64"/>
      <c r="I17" s="47"/>
      <c r="J17" s="19"/>
      <c r="K17" s="98"/>
      <c r="L17" s="100"/>
      <c r="M17" s="100"/>
      <c r="N17" s="100"/>
      <c r="O17" s="98"/>
      <c r="Q17" s="813"/>
    </row>
    <row r="18" spans="1:17" s="2" customFormat="1" ht="20.149999999999999" customHeight="1" x14ac:dyDescent="0.35">
      <c r="A18" s="833"/>
      <c r="B18" s="46"/>
      <c r="C18" s="70" t="s">
        <v>630</v>
      </c>
      <c r="D18" s="464"/>
      <c r="E18" s="47"/>
      <c r="F18" s="868"/>
      <c r="G18" s="869"/>
      <c r="H18" s="64"/>
      <c r="I18" s="47"/>
      <c r="J18" s="19"/>
      <c r="K18" s="98"/>
      <c r="L18" s="100"/>
      <c r="M18" s="100"/>
      <c r="N18" s="100"/>
      <c r="O18" s="98"/>
      <c r="Q18" s="813"/>
    </row>
    <row r="19" spans="1:17" s="2" customFormat="1" ht="20.149999999999999" customHeight="1" x14ac:dyDescent="0.35">
      <c r="A19" s="833"/>
      <c r="B19" s="46"/>
      <c r="C19" s="65"/>
      <c r="D19" s="66"/>
      <c r="E19" s="66"/>
      <c r="F19" s="66"/>
      <c r="G19" s="66"/>
      <c r="H19" s="67"/>
      <c r="I19" s="45"/>
      <c r="J19" s="19"/>
      <c r="K19" s="96"/>
      <c r="L19" s="100"/>
      <c r="M19" s="100"/>
      <c r="N19" s="92"/>
      <c r="O19" s="98"/>
      <c r="Q19" s="813"/>
    </row>
    <row r="20" spans="1:17" ht="19.5" customHeight="1" x14ac:dyDescent="0.5">
      <c r="A20" s="833"/>
      <c r="B20" s="45"/>
      <c r="C20" s="54" t="str">
        <f>IF(F20=0, "UNVOLLSTÄNDIG AUSGEFÜLLT!","")</f>
        <v>UNVOLLSTÄNDIG AUSGEFÜLLT!</v>
      </c>
      <c r="D20" s="45"/>
      <c r="E20" s="45"/>
      <c r="F20" s="451">
        <f>IF(OR(AND(C8&gt;0,H8&gt;0),AND(C9&gt;0,H9&gt;0),AND(C10&gt;0,H10&gt;0),AND(C11&gt;0,H11&gt;0),AND(C12&gt;0,H12&gt;0),AND(C13&gt;0,H13&gt;0)),1,0)</f>
        <v>0</v>
      </c>
      <c r="G20" s="852" t="str">
        <f>IF(AND(F20&lt;&gt;0,H14&gt;=1),G61,"")</f>
        <v/>
      </c>
      <c r="H20" s="852"/>
      <c r="I20" s="45"/>
      <c r="M20" s="92"/>
      <c r="N20" s="100"/>
    </row>
    <row r="21" spans="1:17" ht="19.5" customHeight="1" x14ac:dyDescent="0.35">
      <c r="A21" s="833"/>
      <c r="B21" s="45"/>
      <c r="C21" s="45"/>
      <c r="D21" s="45"/>
      <c r="E21" s="45"/>
      <c r="F21" s="45"/>
      <c r="G21" s="45"/>
      <c r="H21" s="45"/>
      <c r="I21" s="45"/>
    </row>
    <row r="22" spans="1:17" ht="15.5" x14ac:dyDescent="0.35">
      <c r="A22" s="830" t="s">
        <v>66</v>
      </c>
      <c r="I22" s="577" t="str">
        <f ca="1">IF(VLOOKUP(B28,CHOOSE({5,4,3,2,1},Gesamt!L32:L65,Gesamt!M32:M65,Gesamt!N32:N65,Gesamt!O32:O65,Gesamt!P32:P65,),4,0)&gt;0,CONCATENATE("Pos. ",VLOOKUP(B28,CHOOSE({5,4,3,2,1},Gesamt!L32:L65,Gesamt!M32:M65,Gesamt!N32:N65,Gesamt!O32:O65,Gesamt!P32:P65,),VLOOKUP(Gesamt!C19,Gesamt!L5:N7,3,0),0)),"")</f>
        <v/>
      </c>
    </row>
    <row r="23" spans="1:17" x14ac:dyDescent="0.35">
      <c r="A23" s="830"/>
      <c r="B23" s="831" t="str">
        <f>CONCATENATE(Gesamt!C2, ": ", Gesamt!E2)</f>
        <v xml:space="preserve">Projekt: </v>
      </c>
      <c r="C23" s="831"/>
      <c r="D23" s="831"/>
      <c r="E23" s="831"/>
      <c r="F23" s="831"/>
      <c r="G23" s="831"/>
      <c r="H23" s="831"/>
      <c r="I23" s="831"/>
    </row>
    <row r="24" spans="1:17" x14ac:dyDescent="0.35">
      <c r="A24" s="830"/>
      <c r="B24" s="832" t="str">
        <f>CONCATENATE(Gesamt!C4, ": ", Gesamt!E4, IF(Gesamt!E5&lt;&gt;""," - ",""), IF(Gesamt!E5&lt;&gt;"",Gesamt!E5,""), IF(Gesamt!E6&lt;&gt;""," - GZ. ",""), IF(Gesamt!E6&lt;&gt;"",Gesamt!E6,""),)</f>
        <v xml:space="preserve">Auftraggeber: </v>
      </c>
      <c r="C24" s="832"/>
      <c r="D24" s="832"/>
      <c r="E24" s="832"/>
      <c r="F24" s="832"/>
      <c r="G24" s="832"/>
      <c r="H24" s="832"/>
      <c r="I24" s="832"/>
    </row>
    <row r="25" spans="1:17" x14ac:dyDescent="0.35">
      <c r="A25" s="830"/>
      <c r="B25" s="832" t="str">
        <f>CONCATENATE(Gesamt!C9, ": ",Gesamt!E9,  IF(Gesamt!C10&lt;&gt;""," - ",""), IF(Gesamt!C10&lt;&gt;"",Gesamt!E10,""), IF(Gesamt!C11&lt;&gt;""," - GZ. ",""), IF(Gesamt!C11&lt;&gt;"",Gesamt!E11,""), )</f>
        <v xml:space="preserve">Bieter:  -  - GZ. </v>
      </c>
      <c r="C25" s="832"/>
      <c r="D25" s="832"/>
      <c r="E25" s="832"/>
      <c r="F25" s="832"/>
      <c r="G25" s="832"/>
      <c r="H25" s="832"/>
      <c r="I25" s="832"/>
    </row>
    <row r="26" spans="1:17" x14ac:dyDescent="0.35">
      <c r="A26" s="830"/>
      <c r="B26" s="832" t="s">
        <v>41</v>
      </c>
      <c r="C26" s="832"/>
      <c r="D26" s="832"/>
      <c r="E26" s="832"/>
      <c r="F26" s="832"/>
      <c r="G26" s="832"/>
      <c r="H26" s="832"/>
      <c r="I26" s="832"/>
      <c r="M26" s="94"/>
    </row>
    <row r="27" spans="1:17" x14ac:dyDescent="0.35">
      <c r="A27" s="830"/>
    </row>
    <row r="28" spans="1:17" s="9" customFormat="1" ht="23.25" customHeight="1" x14ac:dyDescent="0.35">
      <c r="A28" s="830"/>
      <c r="B28" s="843" t="str">
        <f>D2</f>
        <v>Absteckungen</v>
      </c>
      <c r="C28" s="843"/>
      <c r="D28" s="843"/>
      <c r="E28" s="843"/>
      <c r="F28" s="843"/>
      <c r="G28" s="843"/>
      <c r="H28" s="843"/>
      <c r="I28" s="843"/>
      <c r="J28" s="20"/>
      <c r="K28" s="101"/>
      <c r="L28" s="102"/>
      <c r="M28" s="102"/>
      <c r="N28" s="103"/>
      <c r="O28" s="103"/>
      <c r="Q28" s="814"/>
    </row>
    <row r="29" spans="1:17" x14ac:dyDescent="0.35">
      <c r="A29" s="830"/>
    </row>
    <row r="30" spans="1:17" x14ac:dyDescent="0.35">
      <c r="A30" s="830"/>
      <c r="C30" t="s">
        <v>694</v>
      </c>
    </row>
    <row r="31" spans="1:17" x14ac:dyDescent="0.35">
      <c r="A31" s="830"/>
    </row>
    <row r="32" spans="1:17" x14ac:dyDescent="0.35">
      <c r="A32" s="830"/>
      <c r="C32" t="s">
        <v>959</v>
      </c>
      <c r="E32" s="243">
        <f>IS</f>
        <v>0</v>
      </c>
    </row>
    <row r="33" spans="1:11" x14ac:dyDescent="0.35">
      <c r="A33" s="830"/>
      <c r="E33" s="243"/>
    </row>
    <row r="34" spans="1:11" ht="15" customHeight="1" x14ac:dyDescent="0.35">
      <c r="A34" s="830"/>
      <c r="C34" t="s">
        <v>1105</v>
      </c>
      <c r="D34" s="787"/>
      <c r="F34" s="2" t="s">
        <v>1086</v>
      </c>
      <c r="G34" s="787"/>
      <c r="H34" s="787"/>
    </row>
    <row r="35" spans="1:11" x14ac:dyDescent="0.35">
      <c r="A35" s="830"/>
      <c r="C35" t="s">
        <v>1106</v>
      </c>
      <c r="D35" s="787"/>
      <c r="E35" s="787"/>
      <c r="F35" s="2" t="s">
        <v>1087</v>
      </c>
      <c r="G35" s="787"/>
      <c r="H35" s="787"/>
    </row>
    <row r="36" spans="1:11" x14ac:dyDescent="0.35">
      <c r="A36" s="830"/>
    </row>
    <row r="37" spans="1:11" x14ac:dyDescent="0.35">
      <c r="A37" s="830"/>
      <c r="C37" s="1" t="s">
        <v>171</v>
      </c>
      <c r="E37" t="str">
        <f>D4</f>
        <v>Koordinatenverzeichnis im System der Landesvermessung</v>
      </c>
    </row>
    <row r="38" spans="1:11" x14ac:dyDescent="0.35">
      <c r="A38" s="830"/>
      <c r="C38" s="1"/>
    </row>
    <row r="39" spans="1:11" x14ac:dyDescent="0.35">
      <c r="A39" s="830"/>
      <c r="C39" s="30" t="s">
        <v>201</v>
      </c>
      <c r="E39" s="136">
        <f>H14</f>
        <v>0</v>
      </c>
    </row>
    <row r="40" spans="1:11" x14ac:dyDescent="0.35">
      <c r="A40" s="830"/>
      <c r="E40" s="134"/>
    </row>
    <row r="41" spans="1:11" x14ac:dyDescent="0.35">
      <c r="A41" s="830"/>
      <c r="E41" s="134"/>
    </row>
    <row r="42" spans="1:11" x14ac:dyDescent="0.35">
      <c r="A42" s="830"/>
      <c r="E42" s="134"/>
    </row>
    <row r="43" spans="1:11" x14ac:dyDescent="0.35">
      <c r="A43" s="830"/>
      <c r="C43" s="942" t="s">
        <v>182</v>
      </c>
      <c r="D43" s="942" t="s">
        <v>181</v>
      </c>
      <c r="E43" s="944" t="s">
        <v>203</v>
      </c>
      <c r="F43" s="942" t="s">
        <v>148</v>
      </c>
      <c r="G43" s="942" t="s">
        <v>202</v>
      </c>
      <c r="H43" s="942" t="s">
        <v>184</v>
      </c>
    </row>
    <row r="44" spans="1:11" x14ac:dyDescent="0.35">
      <c r="A44" s="830"/>
      <c r="C44" s="942"/>
      <c r="D44" s="942"/>
      <c r="E44" s="944"/>
      <c r="F44" s="942"/>
      <c r="G44" s="942"/>
      <c r="H44" s="942"/>
    </row>
    <row r="45" spans="1:11" x14ac:dyDescent="0.35">
      <c r="A45" s="830"/>
      <c r="C45" s="122" t="str">
        <f t="shared" ref="C45:C50" si="5">IF(P8&gt;0,C8,"")</f>
        <v/>
      </c>
      <c r="D45" s="198" t="str">
        <f t="shared" ref="D45:H50" si="6">IF($P8&gt;0,D8,"")</f>
        <v/>
      </c>
      <c r="E45" s="469" t="str">
        <f t="shared" si="6"/>
        <v/>
      </c>
      <c r="F45" s="198" t="str">
        <f t="shared" si="6"/>
        <v/>
      </c>
      <c r="G45" s="198" t="str">
        <f t="shared" si="6"/>
        <v/>
      </c>
      <c r="H45" s="122" t="str">
        <f t="shared" si="6"/>
        <v/>
      </c>
    </row>
    <row r="46" spans="1:11" x14ac:dyDescent="0.35">
      <c r="A46" s="830"/>
      <c r="C46" s="122" t="str">
        <f t="shared" si="5"/>
        <v/>
      </c>
      <c r="D46" s="198" t="str">
        <f t="shared" si="6"/>
        <v/>
      </c>
      <c r="E46" s="469" t="str">
        <f t="shared" si="6"/>
        <v/>
      </c>
      <c r="F46" s="198" t="str">
        <f t="shared" si="6"/>
        <v/>
      </c>
      <c r="G46" s="198" t="str">
        <f t="shared" si="6"/>
        <v/>
      </c>
      <c r="H46" s="122" t="str">
        <f t="shared" si="6"/>
        <v/>
      </c>
      <c r="K46" s="119"/>
    </row>
    <row r="47" spans="1:11" x14ac:dyDescent="0.35">
      <c r="A47" s="830"/>
      <c r="C47" s="122" t="str">
        <f t="shared" si="5"/>
        <v/>
      </c>
      <c r="D47" s="198" t="str">
        <f t="shared" si="6"/>
        <v/>
      </c>
      <c r="E47" s="469" t="str">
        <f t="shared" si="6"/>
        <v/>
      </c>
      <c r="F47" s="198" t="str">
        <f t="shared" si="6"/>
        <v/>
      </c>
      <c r="G47" s="198" t="str">
        <f t="shared" si="6"/>
        <v/>
      </c>
      <c r="H47" s="122" t="str">
        <f t="shared" si="6"/>
        <v/>
      </c>
      <c r="K47" s="119"/>
    </row>
    <row r="48" spans="1:11" x14ac:dyDescent="0.35">
      <c r="A48" s="830"/>
      <c r="C48" s="122" t="str">
        <f t="shared" si="5"/>
        <v/>
      </c>
      <c r="D48" s="198" t="str">
        <f t="shared" si="6"/>
        <v/>
      </c>
      <c r="E48" s="469" t="str">
        <f t="shared" si="6"/>
        <v/>
      </c>
      <c r="F48" s="198" t="str">
        <f t="shared" si="6"/>
        <v/>
      </c>
      <c r="G48" s="198" t="str">
        <f t="shared" si="6"/>
        <v/>
      </c>
      <c r="H48" s="122" t="str">
        <f t="shared" si="6"/>
        <v/>
      </c>
      <c r="K48" s="119"/>
    </row>
    <row r="49" spans="1:17" x14ac:dyDescent="0.35">
      <c r="A49" s="830"/>
      <c r="C49" s="122" t="str">
        <f t="shared" si="5"/>
        <v/>
      </c>
      <c r="D49" s="198" t="str">
        <f t="shared" si="6"/>
        <v/>
      </c>
      <c r="E49" s="469" t="str">
        <f t="shared" si="6"/>
        <v/>
      </c>
      <c r="F49" s="198" t="str">
        <f t="shared" si="6"/>
        <v/>
      </c>
      <c r="G49" s="198" t="str">
        <f t="shared" si="6"/>
        <v/>
      </c>
      <c r="H49" s="122" t="str">
        <f t="shared" si="6"/>
        <v/>
      </c>
      <c r="K49" s="119"/>
    </row>
    <row r="50" spans="1:17" x14ac:dyDescent="0.35">
      <c r="A50" s="830"/>
      <c r="C50" s="122" t="str">
        <f t="shared" si="5"/>
        <v/>
      </c>
      <c r="D50" s="198" t="str">
        <f t="shared" si="6"/>
        <v/>
      </c>
      <c r="E50" s="469" t="str">
        <f t="shared" si="6"/>
        <v/>
      </c>
      <c r="F50" s="198" t="str">
        <f t="shared" si="6"/>
        <v/>
      </c>
      <c r="G50" s="198" t="str">
        <f t="shared" si="6"/>
        <v/>
      </c>
      <c r="H50" s="122" t="str">
        <f t="shared" si="6"/>
        <v/>
      </c>
      <c r="K50" s="119"/>
    </row>
    <row r="51" spans="1:17" s="3" customFormat="1" x14ac:dyDescent="0.35">
      <c r="A51" s="830"/>
      <c r="B51"/>
      <c r="C51" s="212">
        <f>C14</f>
        <v>0</v>
      </c>
      <c r="D51" s="598" t="str">
        <f>CONCATENATE(" ",D14)</f>
        <v xml:space="preserve"> Punkt</v>
      </c>
      <c r="E51" s="124"/>
      <c r="F51" s="126"/>
      <c r="G51" s="601"/>
      <c r="H51" s="599"/>
      <c r="I51"/>
      <c r="J51" s="23"/>
      <c r="K51" s="120"/>
      <c r="L51" s="104"/>
      <c r="M51" s="104"/>
      <c r="N51" s="105"/>
      <c r="O51" s="105"/>
      <c r="Q51" s="815"/>
    </row>
    <row r="52" spans="1:17" x14ac:dyDescent="0.35">
      <c r="A52" s="830"/>
      <c r="C52" s="28"/>
      <c r="D52" s="121"/>
      <c r="E52" s="122"/>
      <c r="F52" s="123"/>
      <c r="G52" s="28"/>
      <c r="H52" s="1"/>
      <c r="K52" s="119"/>
    </row>
    <row r="53" spans="1:17" x14ac:dyDescent="0.35">
      <c r="A53" s="830"/>
      <c r="B53" s="3"/>
      <c r="C53" s="446"/>
      <c r="D53" s="446"/>
      <c r="E53" s="446"/>
      <c r="F53" s="446"/>
      <c r="G53" s="446"/>
      <c r="H53" s="446"/>
    </row>
    <row r="54" spans="1:17" x14ac:dyDescent="0.35">
      <c r="A54" s="830"/>
      <c r="C54" s="3" t="s">
        <v>60</v>
      </c>
      <c r="D54" s="3"/>
      <c r="E54" s="3"/>
      <c r="F54" s="22" t="str">
        <f>IF(VSK&lt;&gt;0, P14,"")</f>
        <v/>
      </c>
      <c r="G54" s="594"/>
      <c r="H54" s="594"/>
      <c r="I54" s="3"/>
    </row>
    <row r="55" spans="1:17" x14ac:dyDescent="0.35">
      <c r="A55" s="830"/>
    </row>
    <row r="56" spans="1:17" x14ac:dyDescent="0.35">
      <c r="A56" s="830"/>
    </row>
    <row r="57" spans="1:17" x14ac:dyDescent="0.35">
      <c r="A57" s="830"/>
      <c r="C57" t="str">
        <f>IF(AND(ZuAbschlag&lt;&gt;0,VSK&lt;&gt;0),"Zu-/Abschlag:","")</f>
        <v/>
      </c>
      <c r="E57" s="15" t="str">
        <f>IF(AND(ZuAbschlag&lt;&gt;0,VSK&lt;&gt;0),ZuAbschlag,"")</f>
        <v/>
      </c>
      <c r="F57" s="481" t="str">
        <f>IF(AND(ZuAbschlag&lt;&gt;0,VSK&lt;&gt;0),F54*E57,"")</f>
        <v/>
      </c>
      <c r="G57" s="1" t="str">
        <f>IF(AND(ZuAbschlag&lt;&gt;0,VSK&lt;&gt;0,F17&lt;&gt;""),F17,"")</f>
        <v/>
      </c>
    </row>
    <row r="58" spans="1:17" x14ac:dyDescent="0.35">
      <c r="A58" s="830"/>
      <c r="C58" t="str">
        <f>IF(AND(NK&lt;&gt;0,VSK&lt;&gt;0),"Nebenkosten:","")</f>
        <v/>
      </c>
      <c r="F58" s="481" t="str">
        <f>IF(AND(NK&lt;&gt;0,VSK&lt;&gt;0),NK,"")</f>
        <v/>
      </c>
      <c r="G58" s="1" t="str">
        <f>IF(AND(NK&lt;&gt;0,VSK&lt;&gt;0,F18&lt;&gt;""),F18,"")</f>
        <v/>
      </c>
    </row>
    <row r="59" spans="1:17" s="11" customFormat="1" ht="15.5" x14ac:dyDescent="0.35">
      <c r="A59" s="830"/>
      <c r="B59"/>
      <c r="C59" s="78"/>
      <c r="D59" s="78"/>
      <c r="E59" s="78"/>
      <c r="F59" s="78"/>
      <c r="G59" s="78"/>
      <c r="H59" s="78"/>
      <c r="I59"/>
      <c r="J59" s="114"/>
      <c r="K59" s="115"/>
      <c r="L59" s="116"/>
      <c r="M59" s="116"/>
      <c r="N59" s="117"/>
      <c r="O59" s="117"/>
      <c r="Q59" s="816"/>
    </row>
    <row r="60" spans="1:17" s="11" customFormat="1" ht="15.5" x14ac:dyDescent="0.35">
      <c r="A60" s="830"/>
      <c r="B60"/>
      <c r="C60" s="55"/>
      <c r="D60" s="55"/>
      <c r="E60" s="55"/>
      <c r="F60" s="55"/>
      <c r="G60" s="55"/>
      <c r="H60" s="55"/>
      <c r="I60"/>
      <c r="J60" s="114"/>
      <c r="K60" s="115"/>
      <c r="L60" s="116"/>
      <c r="M60" s="116"/>
      <c r="N60" s="117"/>
      <c r="O60" s="117"/>
      <c r="Q60" s="816"/>
    </row>
    <row r="61" spans="1:17" ht="15.5" x14ac:dyDescent="0.35">
      <c r="A61" s="830"/>
      <c r="C61" s="16" t="s">
        <v>65</v>
      </c>
      <c r="D61" s="16"/>
      <c r="E61" s="16"/>
      <c r="F61" s="16"/>
      <c r="G61" s="842">
        <f>IF(VSK&gt;0,SUM(F58,F57,F54),0)</f>
        <v>0</v>
      </c>
      <c r="H61" s="842"/>
    </row>
    <row r="62" spans="1:17" x14ac:dyDescent="0.35">
      <c r="A62" s="830"/>
      <c r="C62" s="30" t="str">
        <f>IF(O16&lt;&gt;0,"ohne Höhenschichtenlinien (-10%):","")</f>
        <v/>
      </c>
      <c r="E62" s="28"/>
      <c r="F62" s="118" t="str">
        <f>IF(O16&lt;&gt;0,ROUND(O16,2),"")</f>
        <v/>
      </c>
    </row>
    <row r="63" spans="1:17" ht="15.5" x14ac:dyDescent="0.35">
      <c r="A63" s="830"/>
      <c r="B63" s="11"/>
      <c r="C63" s="30" t="str">
        <f>IF(O17&lt;&gt;0,"Höhenkoten nicht freistellen (-5%):","")</f>
        <v/>
      </c>
      <c r="E63" s="28"/>
      <c r="F63" s="118" t="str">
        <f>IF(O17&lt;&gt;0,ROUND(O17,2),"")</f>
        <v/>
      </c>
      <c r="I63" s="11"/>
    </row>
    <row r="64" spans="1:17" x14ac:dyDescent="0.35">
      <c r="A64" s="830"/>
    </row>
    <row r="65" spans="1:17" ht="15.5" x14ac:dyDescent="0.35">
      <c r="A65" s="830"/>
      <c r="C65" s="11"/>
      <c r="D65" s="110"/>
      <c r="E65" s="110"/>
      <c r="F65" s="113"/>
      <c r="G65" s="841"/>
      <c r="H65" s="841"/>
    </row>
    <row r="66" spans="1:17" s="16" customFormat="1" ht="15.5" x14ac:dyDescent="0.35">
      <c r="A66" s="830"/>
      <c r="B66"/>
      <c r="C66"/>
      <c r="D66"/>
      <c r="E66"/>
      <c r="F66" s="28"/>
      <c r="G66"/>
      <c r="H66"/>
      <c r="I66"/>
      <c r="J66" s="21"/>
      <c r="K66" s="106"/>
      <c r="L66" s="107"/>
      <c r="M66" s="107"/>
      <c r="N66" s="108"/>
      <c r="O66" s="108"/>
      <c r="Q66" s="817"/>
    </row>
    <row r="67" spans="1:17" x14ac:dyDescent="0.35">
      <c r="A67" s="830"/>
      <c r="E67" s="15"/>
      <c r="F67" s="17"/>
      <c r="G67" s="1"/>
    </row>
  </sheetData>
  <mergeCells count="27">
    <mergeCell ref="H43:H44"/>
    <mergeCell ref="C6:C7"/>
    <mergeCell ref="B28:I28"/>
    <mergeCell ref="E43:E44"/>
    <mergeCell ref="F43:F44"/>
    <mergeCell ref="G43:G44"/>
    <mergeCell ref="E6:E7"/>
    <mergeCell ref="F6:F7"/>
    <mergeCell ref="G6:G7"/>
    <mergeCell ref="F17:G17"/>
    <mergeCell ref="F18:G18"/>
    <mergeCell ref="G61:H61"/>
    <mergeCell ref="G65:H65"/>
    <mergeCell ref="D4:H4"/>
    <mergeCell ref="D6:D7"/>
    <mergeCell ref="A1:A21"/>
    <mergeCell ref="D2:H2"/>
    <mergeCell ref="D3:H3"/>
    <mergeCell ref="G20:H20"/>
    <mergeCell ref="A22:A67"/>
    <mergeCell ref="B23:I23"/>
    <mergeCell ref="B24:I24"/>
    <mergeCell ref="B25:I25"/>
    <mergeCell ref="B26:I26"/>
    <mergeCell ref="H6:H7"/>
    <mergeCell ref="C43:C44"/>
    <mergeCell ref="D43:D44"/>
  </mergeCells>
  <dataValidations count="3">
    <dataValidation type="list" allowBlank="1" showInputMessage="1" showErrorMessage="1" sqref="G8:G13" xr:uid="{00000000-0002-0000-1200-000000000000}">
      <formula1>$M$4:$M$5</formula1>
    </dataValidation>
    <dataValidation type="whole" operator="greaterThan" allowBlank="1" showInputMessage="1" showErrorMessage="1" sqref="C8:C13" xr:uid="{00000000-0002-0000-1200-000001000000}">
      <formula1>-1</formula1>
    </dataValidation>
    <dataValidation type="decimal" operator="greaterThanOrEqual" allowBlank="1" showInputMessage="1" showErrorMessage="1" sqref="H8:H13" xr:uid="{30CC72AA-512D-43E0-9374-ED8B26652734}">
      <formula1>0</formula1>
    </dataValidation>
  </dataValidations>
  <pageMargins left="0.70866141732283472" right="0.39370078740157483" top="0.59055118110236227" bottom="0.59055118110236227" header="0.31496062992125984" footer="0.31496062992125984"/>
  <pageSetup paperSize="9" orientation="portrait" r:id="rId1"/>
  <headerFooter>
    <oddFooter>&amp;L&amp;9&amp;F, &amp;A&amp;R&amp;9&amp;D</oddFooter>
  </headerFooter>
  <legacyDrawing r:id="rId2"/>
  <legacyDrawingHF r:id="rId3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00000000-0002-0000-1200-000002000000}">
          <x14:formula1>
            <xm:f>Konstante!$P$113:$P$118</xm:f>
          </x14:formula1>
          <xm:sqref>D4</xm:sqref>
        </x14:dataValidation>
        <x14:dataValidation type="list" allowBlank="1" showInputMessage="1" showErrorMessage="1" xr:uid="{00000000-0002-0000-1200-000003000000}">
          <x14:formula1>
            <xm:f>Konstante!$M$113:$M$117</xm:f>
          </x14:formula1>
          <xm:sqref>E8:E13</xm:sqref>
        </x14:dataValidation>
        <x14:dataValidation type="list" allowBlank="1" showInputMessage="1" showErrorMessage="1" xr:uid="{00000000-0002-0000-1200-000004000000}">
          <x14:formula1>
            <xm:f>Konstante!$C$112:$C$120</xm:f>
          </x14:formula1>
          <xm:sqref>F8:F13</xm:sqref>
        </x14:dataValidation>
        <x14:dataValidation type="list" allowBlank="1" showInputMessage="1" showErrorMessage="1" xr:uid="{00000000-0002-0000-1200-000005000000}">
          <x14:formula1>
            <xm:f>Konstante!$J$112:$J$116</xm:f>
          </x14:formula1>
          <xm:sqref>D8:D13</xm:sqref>
        </x14:dataValidation>
      </x14:dataValidations>
    </ext>
  </extLst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21"/>
  <dimension ref="A1:R70"/>
  <sheetViews>
    <sheetView zoomScaleNormal="100" zoomScaleSheetLayoutView="100" workbookViewId="0">
      <selection activeCell="C9" sqref="C9"/>
    </sheetView>
  </sheetViews>
  <sheetFormatPr baseColWidth="10" defaultRowHeight="14.5" x14ac:dyDescent="0.35"/>
  <cols>
    <col min="1" max="1" width="4" customWidth="1"/>
    <col min="2" max="2" width="6.7265625" customWidth="1"/>
    <col min="3" max="8" width="12.7265625" customWidth="1"/>
    <col min="9" max="9" width="5.7265625" customWidth="1"/>
    <col min="10" max="10" width="8.7265625" style="18" customWidth="1"/>
    <col min="11" max="11" width="11.453125" style="92"/>
    <col min="12" max="13" width="11.453125" style="93"/>
    <col min="14" max="18" width="11.453125" style="94"/>
  </cols>
  <sheetData>
    <row r="1" spans="1:18" ht="17.25" customHeight="1" x14ac:dyDescent="0.35">
      <c r="A1" s="833" t="s">
        <v>35</v>
      </c>
      <c r="B1" s="45"/>
      <c r="C1" s="45"/>
      <c r="D1" s="45"/>
      <c r="E1" s="45"/>
      <c r="F1" s="45"/>
      <c r="G1" s="45"/>
      <c r="H1" s="45"/>
      <c r="I1" s="45"/>
      <c r="K1" s="93" t="s">
        <v>699</v>
      </c>
      <c r="N1" s="94">
        <f ca="1">CELL("ZEILE",B27)</f>
        <v>27</v>
      </c>
    </row>
    <row r="2" spans="1:18" ht="22.5" customHeight="1" x14ac:dyDescent="0.35">
      <c r="A2" s="833"/>
      <c r="B2" s="46"/>
      <c r="C2" s="47" t="s">
        <v>36</v>
      </c>
      <c r="D2" s="848" t="s">
        <v>1144</v>
      </c>
      <c r="E2" s="849"/>
      <c r="F2" s="849"/>
      <c r="G2" s="849"/>
      <c r="H2" s="850"/>
      <c r="I2" s="45"/>
      <c r="K2" s="175" t="s">
        <v>700</v>
      </c>
      <c r="L2" s="155"/>
      <c r="M2" s="155"/>
      <c r="N2" s="175">
        <f ca="1">CELL("ZEILE",G60)</f>
        <v>60</v>
      </c>
      <c r="O2" s="175"/>
      <c r="P2" s="175"/>
    </row>
    <row r="3" spans="1:18" ht="22.5" customHeight="1" x14ac:dyDescent="0.35">
      <c r="A3" s="833"/>
      <c r="B3" s="46"/>
      <c r="C3" s="61"/>
      <c r="D3" s="909" t="s">
        <v>213</v>
      </c>
      <c r="E3" s="910"/>
      <c r="F3" s="910"/>
      <c r="G3" s="910"/>
      <c r="H3" s="911"/>
      <c r="I3" s="45"/>
      <c r="K3" s="175" t="s">
        <v>701</v>
      </c>
      <c r="L3" s="155"/>
      <c r="M3" s="155"/>
      <c r="N3" s="175">
        <f>F19</f>
        <v>0</v>
      </c>
      <c r="O3" s="175"/>
      <c r="P3" s="175"/>
    </row>
    <row r="4" spans="1:18" ht="17.25" customHeight="1" x14ac:dyDescent="0.35">
      <c r="A4" s="833"/>
      <c r="B4" s="46"/>
      <c r="C4" s="63"/>
      <c r="D4" s="14"/>
      <c r="E4" s="14"/>
      <c r="F4" s="14"/>
      <c r="G4" s="14"/>
      <c r="H4" s="64"/>
      <c r="I4" s="45"/>
      <c r="K4" s="175"/>
      <c r="L4" s="155"/>
      <c r="M4" s="155"/>
      <c r="N4" s="175"/>
      <c r="O4" s="175"/>
      <c r="P4" s="175"/>
      <c r="Q4" s="175"/>
    </row>
    <row r="5" spans="1:18" ht="17.25" customHeight="1" x14ac:dyDescent="0.35">
      <c r="A5" s="833"/>
      <c r="B5" s="46"/>
      <c r="C5" s="63"/>
      <c r="D5" s="14"/>
      <c r="E5" s="14"/>
      <c r="F5" s="14"/>
      <c r="G5" s="14"/>
      <c r="H5" s="64"/>
      <c r="I5" s="45"/>
      <c r="K5" s="175"/>
      <c r="L5" s="155"/>
      <c r="M5" s="155"/>
      <c r="N5" s="175"/>
      <c r="O5" s="175"/>
      <c r="P5" s="175"/>
    </row>
    <row r="6" spans="1:18" ht="17.25" customHeight="1" x14ac:dyDescent="0.35">
      <c r="A6" s="833"/>
      <c r="B6" s="46"/>
      <c r="C6" s="63"/>
      <c r="D6" s="14"/>
      <c r="E6" s="14"/>
      <c r="F6" s="14"/>
      <c r="G6" s="14"/>
      <c r="H6" s="64"/>
      <c r="I6" s="45"/>
      <c r="K6" s="94"/>
    </row>
    <row r="7" spans="1:18" ht="19.5" customHeight="1" x14ac:dyDescent="0.35">
      <c r="A7" s="833"/>
      <c r="B7" s="46"/>
      <c r="C7" s="943" t="s">
        <v>844</v>
      </c>
      <c r="D7" s="937" t="s">
        <v>216</v>
      </c>
      <c r="E7" s="937" t="s">
        <v>215</v>
      </c>
      <c r="F7" s="937"/>
      <c r="G7" s="916" t="s">
        <v>209</v>
      </c>
      <c r="H7" s="916"/>
      <c r="I7" s="203"/>
      <c r="K7" s="94"/>
    </row>
    <row r="8" spans="1:18" s="2" customFormat="1" ht="20.149999999999999" customHeight="1" x14ac:dyDescent="0.35">
      <c r="A8" s="833"/>
      <c r="B8" s="46"/>
      <c r="C8" s="943"/>
      <c r="D8" s="937"/>
      <c r="E8" s="937"/>
      <c r="F8" s="937"/>
      <c r="G8" s="916"/>
      <c r="H8" s="916"/>
      <c r="I8" s="154"/>
      <c r="J8" s="19"/>
      <c r="K8" s="96" t="s">
        <v>217</v>
      </c>
      <c r="L8" s="96" t="s">
        <v>140</v>
      </c>
      <c r="M8" s="96" t="s">
        <v>141</v>
      </c>
      <c r="N8" s="98"/>
      <c r="O8" s="98"/>
      <c r="P8" s="98"/>
      <c r="Q8" s="98"/>
      <c r="R8" s="98"/>
    </row>
    <row r="9" spans="1:18" s="2" customFormat="1" ht="20.149999999999999" customHeight="1" x14ac:dyDescent="0.35">
      <c r="A9" s="833"/>
      <c r="B9" s="46"/>
      <c r="C9" s="827"/>
      <c r="D9" s="71" t="s">
        <v>205</v>
      </c>
      <c r="E9" s="71">
        <v>20</v>
      </c>
      <c r="F9" s="205">
        <f>VLOOKUP(E9,Konstante!$F$128:$G$133,2,FALSE)</f>
        <v>50</v>
      </c>
      <c r="G9" s="834" t="s">
        <v>210</v>
      </c>
      <c r="H9" s="834"/>
      <c r="I9" s="204"/>
      <c r="J9" s="19"/>
      <c r="K9" s="206">
        <f>VLOOKUP(D9,Konstante!$C$128:$D$130,2,FALSE)</f>
        <v>3.5</v>
      </c>
      <c r="L9" s="193">
        <f>VLOOKUP(E9,Konstante!$F$128:$H$133,3,FALSE)</f>
        <v>1</v>
      </c>
      <c r="M9" s="96">
        <f>VLOOKUP(G9,Konstante!$J$128:$K$130,2,FALSE)</f>
        <v>1</v>
      </c>
      <c r="N9" s="153">
        <f>K9*L9*C9*M9*IS</f>
        <v>0</v>
      </c>
      <c r="O9" s="98"/>
      <c r="P9" s="98"/>
      <c r="Q9" s="98"/>
      <c r="R9" s="98"/>
    </row>
    <row r="10" spans="1:18" s="2" customFormat="1" ht="20.149999999999999" customHeight="1" x14ac:dyDescent="0.35">
      <c r="A10" s="833"/>
      <c r="B10" s="46"/>
      <c r="C10" s="827"/>
      <c r="D10" s="71" t="s">
        <v>206</v>
      </c>
      <c r="E10" s="71">
        <v>50</v>
      </c>
      <c r="F10" s="205">
        <f>VLOOKUP(E10,Konstante!$F$128:$G$133,2,FALSE)</f>
        <v>20</v>
      </c>
      <c r="G10" s="834" t="s">
        <v>211</v>
      </c>
      <c r="H10" s="834"/>
      <c r="I10" s="204"/>
      <c r="J10" s="19"/>
      <c r="K10" s="206">
        <f>VLOOKUP(D10,Konstante!$C$128:$D$130,2,FALSE)</f>
        <v>7</v>
      </c>
      <c r="L10" s="193">
        <f>VLOOKUP(E10,Konstante!$F$128:$H$133,3,FALSE)</f>
        <v>2</v>
      </c>
      <c r="M10" s="96">
        <f>VLOOKUP(G10,Konstante!$J$128:$K$130,2,FALSE)</f>
        <v>1.8</v>
      </c>
      <c r="N10" s="153">
        <f>K10*L10*C10*M10*IS</f>
        <v>0</v>
      </c>
      <c r="O10" s="98"/>
      <c r="P10" s="98"/>
      <c r="Q10" s="98"/>
      <c r="R10" s="98"/>
    </row>
    <row r="11" spans="1:18" s="2" customFormat="1" ht="20.149999999999999" customHeight="1" x14ac:dyDescent="0.35">
      <c r="A11" s="833"/>
      <c r="B11" s="46"/>
      <c r="C11" s="828"/>
      <c r="D11" s="71" t="s">
        <v>207</v>
      </c>
      <c r="E11" s="71">
        <v>100</v>
      </c>
      <c r="F11" s="205">
        <f>VLOOKUP(E11,Konstante!$F$128:$G$133,2,FALSE)</f>
        <v>10</v>
      </c>
      <c r="G11" s="834" t="s">
        <v>212</v>
      </c>
      <c r="H11" s="834"/>
      <c r="I11" s="204"/>
      <c r="J11" s="19"/>
      <c r="K11" s="206">
        <f>VLOOKUP(D11,Konstante!$C$128:$D$130,2,FALSE)</f>
        <v>10.5</v>
      </c>
      <c r="L11" s="193">
        <f>VLOOKUP(E11,Konstante!$F$128:$H$133,3,FALSE)</f>
        <v>4</v>
      </c>
      <c r="M11" s="96">
        <f>VLOOKUP(G11,Konstante!$J$128:$K$130,2,FALSE)</f>
        <v>2.2000000000000002</v>
      </c>
      <c r="N11" s="467">
        <f>K11*L11*C11*M11*IS</f>
        <v>0</v>
      </c>
      <c r="O11" s="98"/>
      <c r="P11" s="98"/>
      <c r="Q11" s="98"/>
      <c r="R11" s="98"/>
    </row>
    <row r="12" spans="1:18" s="2" customFormat="1" ht="20.149999999999999" customHeight="1" x14ac:dyDescent="0.35">
      <c r="A12" s="833"/>
      <c r="B12" s="46"/>
      <c r="C12" s="829">
        <f>SUM(C9:C11)</f>
        <v>0</v>
      </c>
      <c r="D12" s="14"/>
      <c r="E12" s="14"/>
      <c r="F12" s="14"/>
      <c r="G12" s="14"/>
      <c r="H12" s="64"/>
      <c r="I12" s="47"/>
      <c r="J12" s="19"/>
      <c r="K12" s="98"/>
      <c r="L12" s="98"/>
      <c r="M12" s="193"/>
      <c r="N12" s="153">
        <f>SUM(N9:N11)</f>
        <v>0</v>
      </c>
      <c r="O12" s="98"/>
      <c r="P12" s="98"/>
      <c r="Q12" s="98"/>
      <c r="R12" s="98"/>
    </row>
    <row r="13" spans="1:18" s="2" customFormat="1" ht="20.149999999999999" customHeight="1" x14ac:dyDescent="0.35">
      <c r="A13" s="833"/>
      <c r="B13" s="45"/>
      <c r="C13" s="63"/>
      <c r="D13" s="14"/>
      <c r="E13" s="14"/>
      <c r="F13" s="14"/>
      <c r="G13" s="14"/>
      <c r="H13" s="64"/>
      <c r="I13" s="47"/>
      <c r="J13" s="19"/>
      <c r="K13" s="98"/>
      <c r="L13" s="98"/>
      <c r="M13" s="193"/>
      <c r="N13" s="132"/>
      <c r="O13" s="98"/>
      <c r="P13" s="98"/>
      <c r="Q13" s="98"/>
      <c r="R13" s="98"/>
    </row>
    <row r="14" spans="1:18" s="2" customFormat="1" ht="20.149999999999999" customHeight="1" x14ac:dyDescent="0.25">
      <c r="A14" s="833"/>
      <c r="B14" s="46"/>
      <c r="C14" s="63"/>
      <c r="D14" s="14"/>
      <c r="E14" s="390"/>
      <c r="F14" s="392"/>
      <c r="G14" s="592" t="s">
        <v>633</v>
      </c>
      <c r="H14" s="394"/>
      <c r="I14" s="47"/>
      <c r="J14" s="19"/>
      <c r="K14" s="98"/>
      <c r="L14" s="145"/>
      <c r="M14" s="100"/>
      <c r="N14" s="98"/>
      <c r="O14" s="98"/>
      <c r="P14" s="98"/>
      <c r="Q14" s="98"/>
      <c r="R14" s="98"/>
    </row>
    <row r="15" spans="1:18" s="2" customFormat="1" ht="20.149999999999999" customHeight="1" x14ac:dyDescent="0.35">
      <c r="A15" s="833"/>
      <c r="B15" s="46"/>
      <c r="C15" s="357" t="s">
        <v>34</v>
      </c>
      <c r="D15" s="14"/>
      <c r="E15" s="395"/>
      <c r="F15" s="357"/>
      <c r="G15" s="566"/>
      <c r="H15" s="567"/>
      <c r="I15" s="47"/>
      <c r="J15" s="19"/>
      <c r="K15" s="98"/>
      <c r="L15" s="145"/>
      <c r="M15" s="100"/>
      <c r="N15" s="98"/>
      <c r="O15" s="98"/>
      <c r="P15" s="98"/>
      <c r="Q15" s="98"/>
      <c r="R15" s="98"/>
    </row>
    <row r="16" spans="1:18" s="2" customFormat="1" ht="20.149999999999999" customHeight="1" x14ac:dyDescent="0.35">
      <c r="A16" s="833"/>
      <c r="B16" s="46"/>
      <c r="C16" s="357" t="s">
        <v>1</v>
      </c>
      <c r="D16" s="14"/>
      <c r="E16" s="396"/>
      <c r="F16" s="357"/>
      <c r="G16" s="566"/>
      <c r="H16" s="567"/>
      <c r="I16" s="47"/>
      <c r="J16" s="19"/>
      <c r="K16" s="98"/>
      <c r="L16" s="100"/>
      <c r="M16" s="100"/>
      <c r="N16" s="98"/>
      <c r="O16" s="98"/>
      <c r="P16" s="98"/>
      <c r="Q16" s="98"/>
      <c r="R16" s="98"/>
    </row>
    <row r="17" spans="1:18" s="2" customFormat="1" ht="20.149999999999999" customHeight="1" x14ac:dyDescent="0.35">
      <c r="A17" s="833"/>
      <c r="B17" s="46"/>
      <c r="C17" s="63"/>
      <c r="D17" s="14"/>
      <c r="E17" s="14"/>
      <c r="F17" s="14"/>
      <c r="G17" s="14"/>
      <c r="H17" s="64"/>
      <c r="I17" s="47"/>
      <c r="J17" s="19"/>
      <c r="K17" s="98"/>
      <c r="L17" s="100"/>
      <c r="M17" s="100"/>
      <c r="N17" s="145"/>
      <c r="O17" s="98"/>
      <c r="P17" s="98"/>
      <c r="Q17" s="98"/>
      <c r="R17" s="98"/>
    </row>
    <row r="18" spans="1:18" s="2" customFormat="1" ht="20.149999999999999" customHeight="1" x14ac:dyDescent="0.35">
      <c r="A18" s="833"/>
      <c r="B18" s="46"/>
      <c r="C18" s="65"/>
      <c r="D18" s="66"/>
      <c r="E18" s="66"/>
      <c r="F18" s="66"/>
      <c r="G18" s="66"/>
      <c r="H18" s="67"/>
      <c r="I18" s="45"/>
      <c r="J18" s="19"/>
      <c r="K18" s="96"/>
      <c r="L18" s="100"/>
      <c r="M18" s="100"/>
      <c r="N18" s="99"/>
      <c r="O18" s="98"/>
      <c r="P18" s="98"/>
      <c r="Q18" s="98"/>
      <c r="R18" s="98"/>
    </row>
    <row r="19" spans="1:18" ht="19.5" customHeight="1" x14ac:dyDescent="0.5">
      <c r="A19" s="833"/>
      <c r="B19" s="45"/>
      <c r="C19" s="54" t="str">
        <f>IF(F19=0, "UNVOLLSTÄNDIG AUSGEFÜLLT!","")</f>
        <v>UNVOLLSTÄNDIG AUSGEFÜLLT!</v>
      </c>
      <c r="D19" s="45"/>
      <c r="E19" s="45"/>
      <c r="F19" s="451">
        <f>IF(AND(H11&lt;1,C12&lt;1,C13&lt;1),0,1)</f>
        <v>0</v>
      </c>
      <c r="G19" s="852" t="str">
        <f>IF(F19&lt;&gt;0, G60,"")</f>
        <v/>
      </c>
      <c r="H19" s="852"/>
      <c r="I19" s="45"/>
      <c r="M19" s="92"/>
    </row>
    <row r="20" spans="1:18" ht="19.5" customHeight="1" x14ac:dyDescent="0.35">
      <c r="A20" s="833"/>
      <c r="B20" s="45"/>
      <c r="C20" s="45"/>
      <c r="D20" s="45"/>
      <c r="E20" s="45"/>
      <c r="F20" s="45"/>
      <c r="G20" s="45"/>
      <c r="H20" s="45"/>
      <c r="I20" s="45"/>
    </row>
    <row r="21" spans="1:18" ht="15.5" x14ac:dyDescent="0.35">
      <c r="A21" s="830" t="s">
        <v>66</v>
      </c>
      <c r="I21" s="577" t="str">
        <f ca="1">IF(VLOOKUP(B27,CHOOSE({5,4,3,2,1},Gesamt!L32:L65,Gesamt!M32:M65,Gesamt!N32:N65,Gesamt!O32:O65,Gesamt!P32:P65,),4,0)&gt;0,CONCATENATE("Pos. ",VLOOKUP(B27,CHOOSE({5,4,3,2,1},Gesamt!L32:L65,Gesamt!M32:M65,Gesamt!N32:N65,Gesamt!O32:O65,Gesamt!P32:P65,),VLOOKUP(Gesamt!C19,Gesamt!L5:N7,3,0),0)),"")</f>
        <v/>
      </c>
    </row>
    <row r="22" spans="1:18" x14ac:dyDescent="0.35">
      <c r="A22" s="830"/>
      <c r="B22" s="831" t="str">
        <f>CONCATENATE(Gesamt!C2, ": ", Gesamt!E2)</f>
        <v xml:space="preserve">Projekt: </v>
      </c>
      <c r="C22" s="831"/>
      <c r="D22" s="831"/>
      <c r="E22" s="831"/>
      <c r="F22" s="831"/>
      <c r="G22" s="831"/>
      <c r="H22" s="831"/>
      <c r="I22" s="831"/>
    </row>
    <row r="23" spans="1:18" x14ac:dyDescent="0.35">
      <c r="A23" s="830"/>
      <c r="B23" s="832" t="str">
        <f>CONCATENATE(Gesamt!C4, ": ", Gesamt!E4, IF(Gesamt!E5&lt;&gt;""," - ",""), IF(Gesamt!E5&lt;&gt;"",Gesamt!E5,""), IF(Gesamt!E6&lt;&gt;""," - GZ. ",""), IF(Gesamt!E6&lt;&gt;"",Gesamt!E6,""),)</f>
        <v xml:space="preserve">Auftraggeber: </v>
      </c>
      <c r="C23" s="832"/>
      <c r="D23" s="832"/>
      <c r="E23" s="832"/>
      <c r="F23" s="832"/>
      <c r="G23" s="832"/>
      <c r="H23" s="832"/>
      <c r="I23" s="832"/>
    </row>
    <row r="24" spans="1:18" x14ac:dyDescent="0.35">
      <c r="A24" s="830"/>
      <c r="B24" s="832" t="str">
        <f>CONCATENATE(Gesamt!C9, ": ",Gesamt!E9,  IF(Gesamt!C10&lt;&gt;""," - ",""), IF(Gesamt!C10&lt;&gt;"",Gesamt!E10,""), IF(Gesamt!C11&lt;&gt;""," - GZ. ",""), IF(Gesamt!C11&lt;&gt;"",Gesamt!E11,""), )</f>
        <v xml:space="preserve">Bieter:  -  - GZ. </v>
      </c>
      <c r="C24" s="832"/>
      <c r="D24" s="832"/>
      <c r="E24" s="832"/>
      <c r="F24" s="832"/>
      <c r="G24" s="832"/>
      <c r="H24" s="832"/>
      <c r="I24" s="832"/>
    </row>
    <row r="25" spans="1:18" x14ac:dyDescent="0.35">
      <c r="A25" s="830"/>
      <c r="B25" s="832" t="s">
        <v>41</v>
      </c>
      <c r="C25" s="832"/>
      <c r="D25" s="832"/>
      <c r="E25" s="832"/>
      <c r="F25" s="832"/>
      <c r="G25" s="832"/>
      <c r="H25" s="832"/>
      <c r="I25" s="832"/>
    </row>
    <row r="26" spans="1:18" x14ac:dyDescent="0.35">
      <c r="A26" s="830"/>
    </row>
    <row r="27" spans="1:18" s="9" customFormat="1" ht="23.25" customHeight="1" x14ac:dyDescent="0.35">
      <c r="A27" s="830"/>
      <c r="B27" s="843" t="str">
        <f>CONCATENATE(D2," ",D3)</f>
        <v>Achseinrechnung und Berechnung von Achszwischenpunkten</v>
      </c>
      <c r="C27" s="843"/>
      <c r="D27" s="843"/>
      <c r="E27" s="843"/>
      <c r="F27" s="843"/>
      <c r="G27" s="843"/>
      <c r="H27" s="843"/>
      <c r="I27" s="843"/>
      <c r="J27" s="20"/>
      <c r="K27" s="101"/>
      <c r="L27" s="102"/>
      <c r="M27" s="102"/>
      <c r="N27" s="103"/>
      <c r="O27" s="103"/>
      <c r="P27" s="103"/>
      <c r="Q27" s="103"/>
      <c r="R27" s="103"/>
    </row>
    <row r="28" spans="1:18" x14ac:dyDescent="0.35">
      <c r="A28" s="830"/>
    </row>
    <row r="29" spans="1:18" x14ac:dyDescent="0.35">
      <c r="A29" s="830"/>
      <c r="C29" t="s">
        <v>695</v>
      </c>
    </row>
    <row r="30" spans="1:18" x14ac:dyDescent="0.35">
      <c r="A30" s="830"/>
    </row>
    <row r="31" spans="1:18" x14ac:dyDescent="0.35">
      <c r="A31" s="830"/>
      <c r="C31" t="s">
        <v>959</v>
      </c>
      <c r="E31" s="243">
        <f>Gesamt!E14</f>
        <v>0</v>
      </c>
    </row>
    <row r="32" spans="1:18" x14ac:dyDescent="0.35">
      <c r="A32" s="830"/>
    </row>
    <row r="33" spans="1:18" x14ac:dyDescent="0.35">
      <c r="A33" s="830"/>
      <c r="C33" t="s">
        <v>748</v>
      </c>
    </row>
    <row r="34" spans="1:18" x14ac:dyDescent="0.35">
      <c r="A34" s="830"/>
      <c r="C34" s="1"/>
    </row>
    <row r="35" spans="1:18" x14ac:dyDescent="0.35">
      <c r="A35" s="830"/>
      <c r="C35" s="1"/>
    </row>
    <row r="36" spans="1:18" x14ac:dyDescent="0.35">
      <c r="A36" s="830"/>
      <c r="C36" s="946" t="s">
        <v>214</v>
      </c>
      <c r="D36" s="947" t="s">
        <v>218</v>
      </c>
      <c r="E36" s="948" t="s">
        <v>215</v>
      </c>
      <c r="F36" s="948"/>
      <c r="G36" s="949" t="s">
        <v>209</v>
      </c>
      <c r="H36" s="949"/>
    </row>
    <row r="37" spans="1:18" x14ac:dyDescent="0.35">
      <c r="A37" s="830"/>
      <c r="C37" s="946"/>
      <c r="D37" s="947"/>
      <c r="E37" s="948"/>
      <c r="F37" s="948"/>
      <c r="G37" s="949"/>
      <c r="H37" s="949"/>
    </row>
    <row r="38" spans="1:18" x14ac:dyDescent="0.35">
      <c r="A38" s="830"/>
      <c r="C38" s="207" t="str">
        <f>IF(C9&gt;0,C9,"")</f>
        <v/>
      </c>
      <c r="D38" s="122" t="str">
        <f>IF($C9&gt;0,D9,"")</f>
        <v/>
      </c>
      <c r="E38" t="str">
        <f>IF($C9&gt;0,E9,"")</f>
        <v/>
      </c>
      <c r="F38" s="210" t="str">
        <f>IF($C9&gt;0,F9,"")</f>
        <v/>
      </c>
      <c r="G38" s="945" t="str">
        <f>IF(C9&gt;0,G9,"")</f>
        <v/>
      </c>
      <c r="H38" s="945"/>
    </row>
    <row r="39" spans="1:18" x14ac:dyDescent="0.35">
      <c r="A39" s="830"/>
      <c r="C39" s="207" t="str">
        <f>IF(C10&gt;0,C10,"")</f>
        <v/>
      </c>
      <c r="D39" s="122" t="str">
        <f t="shared" ref="D39:F40" si="0">IF($C10&gt;0,D10,"")</f>
        <v/>
      </c>
      <c r="E39" t="str">
        <f t="shared" si="0"/>
        <v/>
      </c>
      <c r="F39" s="210" t="str">
        <f t="shared" si="0"/>
        <v/>
      </c>
      <c r="G39" s="945" t="str">
        <f t="shared" ref="G39:G40" si="1">IF(C10&gt;0,G10,"")</f>
        <v/>
      </c>
      <c r="H39" s="945"/>
    </row>
    <row r="40" spans="1:18" x14ac:dyDescent="0.35">
      <c r="A40" s="830"/>
      <c r="C40" s="207" t="str">
        <f>IF(C11&gt;0,C11,"")</f>
        <v/>
      </c>
      <c r="D40" s="122" t="str">
        <f t="shared" si="0"/>
        <v/>
      </c>
      <c r="E40" t="str">
        <f t="shared" si="0"/>
        <v/>
      </c>
      <c r="F40" s="210" t="str">
        <f t="shared" si="0"/>
        <v/>
      </c>
      <c r="G40" s="945" t="str">
        <f t="shared" si="1"/>
        <v/>
      </c>
      <c r="H40" s="945"/>
    </row>
    <row r="41" spans="1:18" x14ac:dyDescent="0.35">
      <c r="A41" s="830"/>
      <c r="C41" s="211">
        <f>SUM(C38:C40)</f>
        <v>0</v>
      </c>
      <c r="D41" s="173"/>
      <c r="E41" s="209"/>
      <c r="F41" s="208"/>
      <c r="G41" s="208"/>
      <c r="H41" s="55"/>
    </row>
    <row r="42" spans="1:18" x14ac:dyDescent="0.35">
      <c r="A42" s="830"/>
      <c r="C42" s="122"/>
      <c r="D42" s="198"/>
      <c r="E42" s="197"/>
      <c r="F42" s="122"/>
      <c r="G42" s="122"/>
    </row>
    <row r="43" spans="1:18" x14ac:dyDescent="0.35">
      <c r="A43" s="830"/>
      <c r="C43" s="122"/>
      <c r="D43" s="198"/>
      <c r="E43" s="197"/>
      <c r="F43" s="122"/>
      <c r="G43" s="122"/>
    </row>
    <row r="44" spans="1:18" x14ac:dyDescent="0.35">
      <c r="A44" s="830"/>
      <c r="C44" s="122"/>
      <c r="D44" s="198"/>
      <c r="E44" s="197"/>
      <c r="F44" s="122"/>
      <c r="G44" s="122"/>
      <c r="H44" s="2"/>
    </row>
    <row r="45" spans="1:18" x14ac:dyDescent="0.35">
      <c r="A45" s="830"/>
      <c r="C45" s="28"/>
      <c r="D45" s="198"/>
      <c r="E45" s="28"/>
      <c r="F45" s="123"/>
      <c r="G45" s="28"/>
      <c r="H45" s="1"/>
      <c r="K45" s="119"/>
    </row>
    <row r="46" spans="1:18" x14ac:dyDescent="0.35">
      <c r="A46" s="830"/>
      <c r="C46" s="28"/>
      <c r="D46" s="121"/>
      <c r="E46" s="122"/>
      <c r="F46" s="123"/>
      <c r="G46" s="28"/>
      <c r="H46" s="1"/>
      <c r="K46" s="119"/>
    </row>
    <row r="47" spans="1:18" s="3" customFormat="1" x14ac:dyDescent="0.35">
      <c r="A47" s="830"/>
      <c r="B47"/>
      <c r="C47" s="28"/>
      <c r="D47" s="121"/>
      <c r="E47" s="122"/>
      <c r="F47" s="123"/>
      <c r="G47" s="28"/>
      <c r="H47" s="1"/>
      <c r="I47"/>
      <c r="J47" s="23"/>
      <c r="K47" s="120"/>
      <c r="L47" s="104"/>
      <c r="M47" s="104"/>
      <c r="N47" s="105"/>
      <c r="O47" s="105"/>
      <c r="P47" s="105"/>
      <c r="Q47" s="105"/>
      <c r="R47" s="105"/>
    </row>
    <row r="48" spans="1:18" s="3" customFormat="1" x14ac:dyDescent="0.35">
      <c r="A48" s="830"/>
      <c r="B48"/>
      <c r="C48" s="28"/>
      <c r="D48" s="121"/>
      <c r="E48" s="122"/>
      <c r="F48" s="123"/>
      <c r="G48" s="28"/>
      <c r="H48" s="1"/>
      <c r="I48"/>
      <c r="J48" s="23"/>
      <c r="K48" s="120"/>
      <c r="L48" s="104"/>
      <c r="M48" s="104"/>
      <c r="N48" s="105"/>
      <c r="O48" s="105"/>
      <c r="P48" s="105"/>
      <c r="Q48" s="105"/>
      <c r="R48" s="105"/>
    </row>
    <row r="49" spans="1:18" s="3" customFormat="1" x14ac:dyDescent="0.35">
      <c r="A49" s="830"/>
      <c r="B49"/>
      <c r="C49" s="28"/>
      <c r="D49" s="121"/>
      <c r="E49" s="122"/>
      <c r="F49" s="123"/>
      <c r="G49" s="28"/>
      <c r="H49" s="1"/>
      <c r="I49"/>
      <c r="J49" s="23"/>
      <c r="K49" s="120"/>
      <c r="L49" s="104"/>
      <c r="M49" s="104"/>
      <c r="N49" s="105"/>
      <c r="O49" s="105"/>
      <c r="P49" s="105"/>
      <c r="Q49" s="105"/>
      <c r="R49" s="105"/>
    </row>
    <row r="50" spans="1:18" s="3" customFormat="1" x14ac:dyDescent="0.35">
      <c r="A50" s="830"/>
      <c r="B50"/>
      <c r="C50" s="28"/>
      <c r="D50" s="121"/>
      <c r="E50" s="122"/>
      <c r="F50" s="123"/>
      <c r="G50" s="28"/>
      <c r="H50" s="1"/>
      <c r="I50"/>
      <c r="J50" s="23"/>
      <c r="K50" s="120"/>
      <c r="L50" s="104"/>
      <c r="M50" s="104"/>
      <c r="N50" s="105"/>
      <c r="O50" s="105"/>
      <c r="P50" s="105"/>
      <c r="Q50" s="105"/>
      <c r="R50" s="105"/>
    </row>
    <row r="51" spans="1:18" s="3" customFormat="1" x14ac:dyDescent="0.35">
      <c r="A51" s="830"/>
      <c r="B51"/>
      <c r="C51" s="28"/>
      <c r="D51" s="121"/>
      <c r="E51" s="122"/>
      <c r="F51" s="123"/>
      <c r="G51" s="28"/>
      <c r="H51" s="1"/>
      <c r="I51"/>
      <c r="J51" s="23"/>
      <c r="K51" s="120"/>
      <c r="L51" s="104"/>
      <c r="M51" s="104"/>
      <c r="N51" s="105"/>
      <c r="O51" s="105"/>
      <c r="P51" s="105"/>
      <c r="Q51" s="105"/>
      <c r="R51" s="105"/>
    </row>
    <row r="52" spans="1:18" s="3" customFormat="1" x14ac:dyDescent="0.35">
      <c r="A52" s="830"/>
      <c r="B52"/>
      <c r="C52" s="28"/>
      <c r="D52" s="121"/>
      <c r="E52" s="122"/>
      <c r="F52" s="123"/>
      <c r="G52" s="28"/>
      <c r="H52" s="1"/>
      <c r="I52"/>
      <c r="J52" s="23"/>
      <c r="K52" s="120"/>
      <c r="L52" s="104"/>
      <c r="M52" s="104"/>
      <c r="N52" s="105"/>
      <c r="O52" s="105"/>
      <c r="P52" s="105"/>
      <c r="Q52" s="105"/>
      <c r="R52" s="105"/>
    </row>
    <row r="53" spans="1:18" x14ac:dyDescent="0.35">
      <c r="A53" s="830"/>
      <c r="C53" s="3" t="s">
        <v>60</v>
      </c>
      <c r="D53" s="3"/>
      <c r="E53" s="3"/>
      <c r="F53" s="602" t="str">
        <f>IF(VSK&lt;&gt;0, N12,"")</f>
        <v/>
      </c>
    </row>
    <row r="54" spans="1:18" x14ac:dyDescent="0.35">
      <c r="A54" s="830"/>
      <c r="C54" s="3"/>
      <c r="D54" s="3"/>
      <c r="E54" s="3"/>
      <c r="F54" s="602"/>
    </row>
    <row r="55" spans="1:18" x14ac:dyDescent="0.35">
      <c r="A55" s="830"/>
    </row>
    <row r="56" spans="1:18" x14ac:dyDescent="0.35">
      <c r="A56" s="830"/>
      <c r="C56" t="str">
        <f>IF(AND(ZuAbschlag&lt;&gt;0,VSK&lt;&gt;0),"Zu-/Abschlag:","")</f>
        <v/>
      </c>
      <c r="E56" s="15" t="str">
        <f>IF(AND(ZuAbschlag&lt;&gt;0,VSK&lt;&gt;0),ZuAbschlag,"")</f>
        <v/>
      </c>
      <c r="F56" s="481" t="str">
        <f>IF(AND(ZuAbschlag&lt;&gt;0,VSK&lt;&gt;0),F53*E56,"")</f>
        <v/>
      </c>
      <c r="G56" s="1" t="str">
        <f>IF(AND(ZuAbschlag&lt;&gt;0,VSK&lt;&gt;0,G15&lt;&gt;""),G15,"")</f>
        <v/>
      </c>
    </row>
    <row r="57" spans="1:18" x14ac:dyDescent="0.35">
      <c r="A57" s="830"/>
      <c r="C57" t="str">
        <f>IF(AND(NK&lt;&gt;0,VSK&lt;&gt;0),"Nebenkosten:","")</f>
        <v/>
      </c>
      <c r="F57" s="481" t="str">
        <f>IF(AND(NK&lt;&gt;0,VSK&lt;&gt;0),NK,"")</f>
        <v/>
      </c>
      <c r="G57" s="1" t="str">
        <f>IF(AND(NK&lt;&gt;0,VSK&lt;&gt;0,G16&lt;&gt;""),G16,"")</f>
        <v/>
      </c>
    </row>
    <row r="58" spans="1:18" s="11" customFormat="1" ht="15.5" x14ac:dyDescent="0.35">
      <c r="A58" s="830"/>
      <c r="B58"/>
      <c r="C58" s="78"/>
      <c r="D58" s="78"/>
      <c r="E58" s="78"/>
      <c r="F58" s="78"/>
      <c r="G58" s="78"/>
      <c r="H58" s="78"/>
      <c r="I58"/>
      <c r="J58" s="114"/>
      <c r="K58" s="115"/>
      <c r="L58" s="116"/>
      <c r="M58" s="116"/>
      <c r="N58" s="117"/>
      <c r="O58" s="117"/>
      <c r="P58" s="117"/>
      <c r="Q58" s="117"/>
      <c r="R58" s="117"/>
    </row>
    <row r="59" spans="1:18" s="11" customFormat="1" ht="15.5" x14ac:dyDescent="0.35">
      <c r="A59" s="830"/>
      <c r="B59"/>
      <c r="C59" s="55"/>
      <c r="D59" s="55"/>
      <c r="E59" s="55"/>
      <c r="F59" s="55"/>
      <c r="G59" s="55"/>
      <c r="H59" s="55"/>
      <c r="I59"/>
      <c r="J59" s="114"/>
      <c r="K59" s="115"/>
      <c r="L59" s="116"/>
      <c r="M59" s="116"/>
      <c r="N59" s="117"/>
      <c r="O59" s="117"/>
      <c r="P59" s="117"/>
      <c r="Q59" s="117"/>
      <c r="R59" s="117"/>
    </row>
    <row r="60" spans="1:18" ht="15.5" x14ac:dyDescent="0.35">
      <c r="A60" s="830"/>
      <c r="C60" s="16" t="s">
        <v>65</v>
      </c>
      <c r="D60" s="16"/>
      <c r="E60" s="16"/>
      <c r="F60" s="16"/>
      <c r="G60" s="842">
        <f>IF(VSK&gt;0,SUM(F57,F56,F53),0)</f>
        <v>0</v>
      </c>
      <c r="H60" s="842"/>
      <c r="I60" s="11"/>
    </row>
    <row r="61" spans="1:18" x14ac:dyDescent="0.35">
      <c r="A61" s="830"/>
    </row>
    <row r="62" spans="1:18" ht="15.5" x14ac:dyDescent="0.35">
      <c r="A62" s="830"/>
      <c r="C62" s="11"/>
      <c r="D62" s="110"/>
      <c r="E62" s="110"/>
      <c r="F62" s="113"/>
      <c r="G62" s="841"/>
      <c r="H62" s="841"/>
    </row>
    <row r="63" spans="1:18" x14ac:dyDescent="0.35">
      <c r="A63" s="830"/>
      <c r="F63" s="28"/>
    </row>
    <row r="64" spans="1:18" x14ac:dyDescent="0.35">
      <c r="A64" s="830"/>
      <c r="E64" s="15"/>
      <c r="F64" s="17"/>
      <c r="G64" s="1"/>
    </row>
    <row r="65" spans="1:18" s="16" customFormat="1" ht="15.5" x14ac:dyDescent="0.35">
      <c r="A65" s="830"/>
      <c r="B65"/>
      <c r="C65"/>
      <c r="D65"/>
      <c r="E65"/>
      <c r="F65" s="28"/>
      <c r="G65" s="1"/>
      <c r="H65"/>
      <c r="I65"/>
      <c r="J65" s="21"/>
      <c r="K65" s="106"/>
      <c r="L65" s="107"/>
      <c r="M65" s="107"/>
      <c r="N65" s="108"/>
      <c r="O65" s="108"/>
      <c r="P65" s="108"/>
      <c r="Q65" s="108"/>
      <c r="R65" s="108"/>
    </row>
    <row r="66" spans="1:18" ht="15.5" x14ac:dyDescent="0.35">
      <c r="A66" s="830"/>
      <c r="B66" s="16"/>
      <c r="F66" s="17"/>
      <c r="G66" s="1"/>
      <c r="I66" s="16"/>
    </row>
    <row r="67" spans="1:18" x14ac:dyDescent="0.35">
      <c r="A67" s="830"/>
    </row>
    <row r="68" spans="1:18" x14ac:dyDescent="0.35">
      <c r="A68" s="830"/>
    </row>
    <row r="69" spans="1:18" x14ac:dyDescent="0.35">
      <c r="A69" s="830"/>
      <c r="C69" s="111"/>
      <c r="D69" s="111"/>
      <c r="E69" s="111"/>
      <c r="F69" s="111"/>
      <c r="G69" s="111"/>
      <c r="H69" s="112"/>
    </row>
    <row r="70" spans="1:18" x14ac:dyDescent="0.35">
      <c r="A70" s="830"/>
    </row>
  </sheetData>
  <mergeCells count="26">
    <mergeCell ref="A21:A70"/>
    <mergeCell ref="B22:I22"/>
    <mergeCell ref="B23:I23"/>
    <mergeCell ref="B24:I24"/>
    <mergeCell ref="A1:A20"/>
    <mergeCell ref="D2:H2"/>
    <mergeCell ref="D3:H3"/>
    <mergeCell ref="C7:C8"/>
    <mergeCell ref="D7:D8"/>
    <mergeCell ref="G19:H19"/>
    <mergeCell ref="E7:F8"/>
    <mergeCell ref="G10:H10"/>
    <mergeCell ref="G11:H11"/>
    <mergeCell ref="G9:H9"/>
    <mergeCell ref="G7:H8"/>
    <mergeCell ref="G38:H38"/>
    <mergeCell ref="G62:H62"/>
    <mergeCell ref="G39:H39"/>
    <mergeCell ref="G40:H40"/>
    <mergeCell ref="B25:I25"/>
    <mergeCell ref="B27:I27"/>
    <mergeCell ref="C36:C37"/>
    <mergeCell ref="D36:D37"/>
    <mergeCell ref="E36:F37"/>
    <mergeCell ref="G36:H37"/>
    <mergeCell ref="G60:H60"/>
  </mergeCells>
  <dataValidations count="1">
    <dataValidation type="decimal" operator="greaterThan" showInputMessage="1" showErrorMessage="1" sqref="E15:E16" xr:uid="{00000000-0002-0000-1300-000000000000}">
      <formula1>-1000</formula1>
    </dataValidation>
  </dataValidations>
  <pageMargins left="0.70866141732283472" right="0.39370078740157483" top="0.59055118110236227" bottom="0.59055118110236227" header="0.31496062992125984" footer="0.31496062992125984"/>
  <pageSetup paperSize="9" orientation="portrait" r:id="rId1"/>
  <headerFooter>
    <oddFooter>&amp;L&amp;9&amp;F, &amp;A&amp;R&amp;9&amp;D</oddFooter>
  </headerFooter>
  <legacyDrawingHF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1300-000001000000}">
          <x14:formula1>
            <xm:f>Konstante!$J$128:$J$130</xm:f>
          </x14:formula1>
          <xm:sqref>G9:G11</xm:sqref>
        </x14:dataValidation>
        <x14:dataValidation type="list" allowBlank="1" showInputMessage="1" showErrorMessage="1" xr:uid="{00000000-0002-0000-1300-000002000000}">
          <x14:formula1>
            <xm:f>Konstante!$C$128:$C$130</xm:f>
          </x14:formula1>
          <xm:sqref>D9:D11</xm:sqref>
        </x14:dataValidation>
        <x14:dataValidation type="list" allowBlank="1" showInputMessage="1" showErrorMessage="1" xr:uid="{00000000-0002-0000-1300-000003000000}">
          <x14:formula1>
            <xm:f>Konstante!$F$128:$F$133</xm:f>
          </x14:formula1>
          <xm:sqref>E9:E11</xm:sqref>
        </x14:dataValidation>
      </x14:dataValidations>
    </ext>
  </extLst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22"/>
  <dimension ref="A1:R110"/>
  <sheetViews>
    <sheetView workbookViewId="0">
      <selection activeCell="G4" sqref="G4:H4"/>
    </sheetView>
  </sheetViews>
  <sheetFormatPr baseColWidth="10" defaultColWidth="11.453125" defaultRowHeight="14.5" x14ac:dyDescent="0.35"/>
  <cols>
    <col min="1" max="1" width="4" customWidth="1"/>
    <col min="2" max="2" width="5.1796875" customWidth="1"/>
    <col min="3" max="8" width="12.7265625" customWidth="1"/>
    <col min="9" max="9" width="5.1796875" customWidth="1"/>
  </cols>
  <sheetData>
    <row r="1" spans="1:16" s="355" customFormat="1" ht="15.75" customHeight="1" x14ac:dyDescent="0.35">
      <c r="A1" s="950" t="s">
        <v>35</v>
      </c>
      <c r="B1" s="354"/>
      <c r="C1" s="354"/>
      <c r="D1" s="354"/>
      <c r="E1" s="354"/>
      <c r="F1" s="354"/>
      <c r="G1" s="354"/>
      <c r="H1" s="354"/>
      <c r="I1" s="354"/>
      <c r="K1" s="93" t="s">
        <v>699</v>
      </c>
      <c r="L1" s="93"/>
      <c r="M1" s="93"/>
      <c r="N1" s="94">
        <f ca="1">CELL("ZEILE",B57)</f>
        <v>57</v>
      </c>
    </row>
    <row r="2" spans="1:16" s="355" customFormat="1" ht="23.5" x14ac:dyDescent="0.35">
      <c r="A2" s="950"/>
      <c r="B2" s="356"/>
      <c r="C2" s="357" t="s">
        <v>36</v>
      </c>
      <c r="D2" s="951" t="s">
        <v>99</v>
      </c>
      <c r="E2" s="952"/>
      <c r="F2" s="952"/>
      <c r="G2" s="952"/>
      <c r="H2" s="953"/>
      <c r="I2" s="354"/>
      <c r="K2" s="175" t="s">
        <v>700</v>
      </c>
      <c r="L2" s="155"/>
      <c r="M2" s="155"/>
      <c r="N2" s="175">
        <f ca="1">CELL("ZEILE",G110)</f>
        <v>110</v>
      </c>
    </row>
    <row r="3" spans="1:16" s="355" customFormat="1" ht="23.5" x14ac:dyDescent="0.35">
      <c r="A3" s="950"/>
      <c r="B3" s="356"/>
      <c r="C3" s="357"/>
      <c r="D3" s="358"/>
      <c r="E3" s="359"/>
      <c r="F3" s="359"/>
      <c r="G3" s="359"/>
      <c r="H3" s="360"/>
      <c r="I3" s="354"/>
      <c r="K3" s="175" t="s">
        <v>701</v>
      </c>
      <c r="L3" s="155"/>
      <c r="M3" s="155"/>
      <c r="N3" s="175">
        <f>F49</f>
        <v>0</v>
      </c>
    </row>
    <row r="4" spans="1:16" s="355" customFormat="1" ht="15.5" x14ac:dyDescent="0.35">
      <c r="A4" s="950"/>
      <c r="B4" s="356"/>
      <c r="C4" s="361" t="s">
        <v>452</v>
      </c>
      <c r="D4" s="362"/>
      <c r="E4" s="362"/>
      <c r="F4" s="362"/>
      <c r="G4" s="974"/>
      <c r="H4" s="975"/>
      <c r="I4" s="354"/>
    </row>
    <row r="5" spans="1:16" s="355" customFormat="1" ht="15.5" x14ac:dyDescent="0.35">
      <c r="A5" s="950"/>
      <c r="B5" s="356"/>
      <c r="C5" s="363"/>
      <c r="D5" s="362"/>
      <c r="E5" s="362"/>
      <c r="F5" s="362"/>
      <c r="G5" s="362"/>
      <c r="H5" s="362"/>
      <c r="I5" s="354"/>
    </row>
    <row r="6" spans="1:16" s="355" customFormat="1" ht="15.5" x14ac:dyDescent="0.35">
      <c r="A6" s="950"/>
      <c r="B6" s="356"/>
      <c r="C6" s="366" t="s">
        <v>451</v>
      </c>
      <c r="D6" s="362"/>
      <c r="E6" s="362"/>
      <c r="F6" s="362"/>
      <c r="G6" s="367"/>
      <c r="H6" s="368" t="s">
        <v>517</v>
      </c>
      <c r="I6" s="354"/>
    </row>
    <row r="7" spans="1:16" s="355" customFormat="1" ht="8.25" customHeight="1" x14ac:dyDescent="0.35">
      <c r="A7" s="950"/>
      <c r="B7" s="356"/>
      <c r="C7" s="363"/>
      <c r="D7" s="362"/>
      <c r="E7" s="362"/>
      <c r="F7" s="362"/>
      <c r="G7" s="362"/>
      <c r="H7" s="503"/>
      <c r="I7" s="354"/>
    </row>
    <row r="8" spans="1:16" s="355" customFormat="1" ht="15.5" x14ac:dyDescent="0.35">
      <c r="A8" s="950"/>
      <c r="B8" s="356"/>
      <c r="C8" s="361" t="s">
        <v>411</v>
      </c>
      <c r="D8" s="362"/>
      <c r="E8" s="362"/>
      <c r="F8" s="362"/>
      <c r="G8" s="362"/>
      <c r="H8" s="364" t="str">
        <f>IF(VSK1_&lt;&gt;0,H70,"")</f>
        <v/>
      </c>
      <c r="I8" s="365"/>
    </row>
    <row r="9" spans="1:16" s="355" customFormat="1" ht="15.5" x14ac:dyDescent="0.35">
      <c r="A9" s="950"/>
      <c r="B9" s="356"/>
      <c r="C9" s="366" t="s">
        <v>450</v>
      </c>
      <c r="D9" s="362"/>
      <c r="E9" s="367"/>
      <c r="F9" s="367"/>
      <c r="G9" s="369" t="s">
        <v>266</v>
      </c>
      <c r="H9" s="370"/>
      <c r="I9" s="354"/>
    </row>
    <row r="10" spans="1:16" s="355" customFormat="1" ht="15.5" x14ac:dyDescent="0.35">
      <c r="A10" s="950"/>
      <c r="B10" s="356"/>
      <c r="C10" s="371" t="s">
        <v>433</v>
      </c>
      <c r="D10" s="372"/>
      <c r="E10" s="373"/>
      <c r="F10" s="374" t="s">
        <v>449</v>
      </c>
      <c r="G10" s="976" t="s">
        <v>496</v>
      </c>
      <c r="H10" s="977"/>
      <c r="I10" s="354"/>
    </row>
    <row r="11" spans="1:16" s="355" customFormat="1" ht="15.5" x14ac:dyDescent="0.35">
      <c r="A11" s="950"/>
      <c r="B11" s="356"/>
      <c r="C11" s="961" t="s">
        <v>520</v>
      </c>
      <c r="D11" s="962"/>
      <c r="E11" s="962"/>
      <c r="F11" s="962"/>
      <c r="G11" s="962"/>
      <c r="H11" s="963"/>
      <c r="I11" s="354"/>
    </row>
    <row r="12" spans="1:16" s="355" customFormat="1" ht="15.5" x14ac:dyDescent="0.35">
      <c r="A12" s="950"/>
      <c r="B12" s="356"/>
      <c r="C12" s="366" t="s">
        <v>446</v>
      </c>
      <c r="D12" s="357"/>
      <c r="E12" s="375"/>
      <c r="F12" s="375"/>
      <c r="G12" s="961" t="s">
        <v>507</v>
      </c>
      <c r="H12" s="963"/>
      <c r="I12" s="354"/>
      <c r="K12" s="376"/>
      <c r="L12" s="376"/>
      <c r="M12" s="376"/>
      <c r="N12" s="376"/>
      <c r="O12" s="376"/>
      <c r="P12" s="376"/>
    </row>
    <row r="13" spans="1:16" s="355" customFormat="1" ht="15.5" x14ac:dyDescent="0.35">
      <c r="A13" s="950"/>
      <c r="B13" s="356"/>
      <c r="C13" s="366" t="s">
        <v>444</v>
      </c>
      <c r="D13" s="357"/>
      <c r="E13" s="377">
        <v>0.05</v>
      </c>
      <c r="F13" s="961" t="s">
        <v>1145</v>
      </c>
      <c r="G13" s="962"/>
      <c r="H13" s="963"/>
      <c r="I13" s="354"/>
      <c r="K13" s="376"/>
      <c r="L13" s="378"/>
      <c r="M13" s="379"/>
      <c r="N13" s="376"/>
      <c r="O13" s="376"/>
      <c r="P13" s="376"/>
    </row>
    <row r="14" spans="1:16" s="355" customFormat="1" ht="15.5" x14ac:dyDescent="0.35">
      <c r="A14" s="950"/>
      <c r="B14" s="356"/>
      <c r="C14" s="380" t="str">
        <f>IF(C11=Konstante!F152,"   Für diesen Fall keine Formel! &gt; Bearbeitungsaufwand nach Zeitaufwand!","")</f>
        <v/>
      </c>
      <c r="D14" s="357"/>
      <c r="E14" s="381"/>
      <c r="F14" s="381"/>
      <c r="G14" s="381"/>
      <c r="H14" s="369"/>
      <c r="I14" s="354"/>
      <c r="K14" s="376"/>
      <c r="L14" s="376"/>
      <c r="M14" s="376"/>
      <c r="N14" s="376"/>
      <c r="O14" s="376"/>
      <c r="P14" s="376"/>
    </row>
    <row r="15" spans="1:16" s="355" customFormat="1" ht="15.5" x14ac:dyDescent="0.35">
      <c r="A15" s="950"/>
      <c r="B15" s="356"/>
      <c r="C15" s="361" t="s">
        <v>405</v>
      </c>
      <c r="D15" s="357"/>
      <c r="E15" s="381"/>
      <c r="F15" s="381"/>
      <c r="G15" s="381"/>
      <c r="H15" s="364" t="str">
        <f>IF(VSK2_&lt;&gt;0,H75,"")</f>
        <v/>
      </c>
      <c r="I15" s="356"/>
      <c r="K15" s="376"/>
      <c r="L15" s="376"/>
      <c r="M15" s="382"/>
      <c r="N15" s="376"/>
      <c r="O15" s="376"/>
      <c r="P15" s="376"/>
    </row>
    <row r="16" spans="1:16" s="355" customFormat="1" ht="15.5" x14ac:dyDescent="0.35">
      <c r="A16" s="950"/>
      <c r="B16" s="354"/>
      <c r="C16" s="366" t="s">
        <v>443</v>
      </c>
      <c r="D16" s="357"/>
      <c r="E16" s="381"/>
      <c r="F16" s="381"/>
      <c r="G16" s="381"/>
      <c r="H16" s="819" t="s">
        <v>442</v>
      </c>
      <c r="I16" s="356"/>
      <c r="K16" s="376"/>
      <c r="L16" s="376"/>
      <c r="M16" s="382"/>
      <c r="N16" s="376"/>
      <c r="O16" s="376"/>
      <c r="P16" s="376"/>
    </row>
    <row r="17" spans="1:16" s="355" customFormat="1" ht="15.5" x14ac:dyDescent="0.35">
      <c r="A17" s="950"/>
      <c r="B17" s="356"/>
      <c r="C17" s="366" t="s">
        <v>441</v>
      </c>
      <c r="D17" s="357"/>
      <c r="E17" s="381"/>
      <c r="F17" s="381"/>
      <c r="G17" s="457" t="str">
        <f>IF(AND(H16="automatisch",H17&lt;5),"sollte &gt;= 5 sein!","")</f>
        <v>sollte &gt;= 5 sein!</v>
      </c>
      <c r="H17" s="458"/>
      <c r="I17" s="357"/>
      <c r="K17" s="234"/>
      <c r="L17" s="201"/>
      <c r="M17" s="382"/>
      <c r="N17" s="376"/>
      <c r="O17" s="376"/>
      <c r="P17" s="376"/>
    </row>
    <row r="18" spans="1:16" s="355" customFormat="1" ht="15.5" x14ac:dyDescent="0.35">
      <c r="A18" s="950"/>
      <c r="B18" s="356"/>
      <c r="C18" s="357"/>
      <c r="D18" s="357"/>
      <c r="E18" s="381"/>
      <c r="F18" s="381"/>
      <c r="G18" s="381"/>
      <c r="H18" s="383"/>
      <c r="I18" s="357"/>
      <c r="K18" s="376"/>
      <c r="L18" s="376"/>
      <c r="M18" s="382"/>
      <c r="N18" s="376"/>
      <c r="O18" s="376"/>
      <c r="P18" s="376"/>
    </row>
    <row r="19" spans="1:16" s="355" customFormat="1" ht="15.5" x14ac:dyDescent="0.35">
      <c r="A19" s="950"/>
      <c r="B19" s="356"/>
      <c r="C19" s="361" t="s">
        <v>440</v>
      </c>
      <c r="D19" s="357"/>
      <c r="E19" s="381"/>
      <c r="F19" s="381"/>
      <c r="G19" s="381"/>
      <c r="H19" s="383"/>
      <c r="I19" s="357"/>
      <c r="K19" s="376"/>
      <c r="L19" s="376"/>
      <c r="M19" s="382"/>
      <c r="N19" s="376"/>
      <c r="O19" s="376"/>
      <c r="P19" s="376"/>
    </row>
    <row r="20" spans="1:16" s="355" customFormat="1" ht="15.5" x14ac:dyDescent="0.35">
      <c r="A20" s="950"/>
      <c r="B20" s="356"/>
      <c r="C20" s="384" t="s">
        <v>439</v>
      </c>
      <c r="D20" s="357"/>
      <c r="E20" s="381"/>
      <c r="F20" s="381"/>
      <c r="G20" s="381"/>
      <c r="H20" s="364" t="str">
        <f>IF(VSK3_&lt;&gt;0,H81,"")</f>
        <v/>
      </c>
      <c r="I20" s="357"/>
      <c r="K20" s="376"/>
      <c r="L20" s="376"/>
      <c r="M20" s="382"/>
      <c r="N20" s="376"/>
      <c r="O20" s="376"/>
      <c r="P20" s="376"/>
    </row>
    <row r="21" spans="1:16" s="355" customFormat="1" ht="15.5" x14ac:dyDescent="0.35">
      <c r="A21" s="950"/>
      <c r="B21" s="356"/>
      <c r="C21" s="366" t="s">
        <v>438</v>
      </c>
      <c r="D21" s="357"/>
      <c r="E21" s="381"/>
      <c r="F21" s="381"/>
      <c r="G21" s="369"/>
      <c r="H21" s="370"/>
      <c r="I21" s="357"/>
      <c r="K21" s="376"/>
      <c r="L21" s="376"/>
      <c r="M21" s="382"/>
      <c r="N21" s="376"/>
      <c r="O21" s="376"/>
      <c r="P21" s="376"/>
    </row>
    <row r="22" spans="1:16" s="355" customFormat="1" ht="15.5" x14ac:dyDescent="0.35">
      <c r="A22" s="950"/>
      <c r="B22" s="356"/>
      <c r="C22" s="384" t="s">
        <v>398</v>
      </c>
      <c r="D22" s="357"/>
      <c r="E22" s="381"/>
      <c r="F22" s="381"/>
      <c r="G22" s="381"/>
      <c r="H22" s="364" t="str">
        <f>IF(VSK4_&lt;&gt;0,H95,"")</f>
        <v/>
      </c>
      <c r="I22" s="357"/>
      <c r="K22" s="376"/>
      <c r="L22" s="376"/>
      <c r="M22" s="382"/>
      <c r="N22" s="376"/>
      <c r="O22" s="376"/>
      <c r="P22" s="376"/>
    </row>
    <row r="23" spans="1:16" s="355" customFormat="1" ht="15.5" x14ac:dyDescent="0.35">
      <c r="A23" s="950"/>
      <c r="B23" s="356"/>
      <c r="C23" s="366" t="s">
        <v>437</v>
      </c>
      <c r="D23" s="357"/>
      <c r="E23" s="385"/>
      <c r="F23" s="958" t="s">
        <v>527</v>
      </c>
      <c r="G23" s="959"/>
      <c r="H23" s="960"/>
      <c r="I23" s="357"/>
      <c r="K23" s="376"/>
      <c r="L23" s="376"/>
      <c r="M23" s="382"/>
      <c r="N23" s="376"/>
      <c r="O23" s="376"/>
      <c r="P23" s="376"/>
    </row>
    <row r="24" spans="1:16" s="355" customFormat="1" ht="15.5" x14ac:dyDescent="0.35">
      <c r="A24" s="950"/>
      <c r="B24" s="356"/>
      <c r="C24" s="366" t="s">
        <v>435</v>
      </c>
      <c r="D24" s="357"/>
      <c r="E24" s="958" t="s">
        <v>434</v>
      </c>
      <c r="F24" s="959"/>
      <c r="G24" s="959"/>
      <c r="H24" s="960"/>
      <c r="I24" s="357"/>
      <c r="K24" s="376"/>
      <c r="L24" s="376"/>
      <c r="M24" s="382"/>
      <c r="N24" s="376"/>
      <c r="O24" s="376"/>
      <c r="P24" s="376"/>
    </row>
    <row r="25" spans="1:16" s="355" customFormat="1" ht="6.75" customHeight="1" x14ac:dyDescent="0.35">
      <c r="A25" s="950"/>
      <c r="B25" s="356"/>
      <c r="C25" s="366"/>
      <c r="D25" s="357"/>
      <c r="E25" s="504"/>
      <c r="F25" s="505"/>
      <c r="G25" s="505"/>
      <c r="H25" s="506"/>
      <c r="I25" s="357"/>
      <c r="K25" s="376"/>
      <c r="L25" s="376"/>
      <c r="M25" s="382"/>
      <c r="N25" s="376"/>
      <c r="O25" s="376"/>
      <c r="P25" s="376"/>
    </row>
    <row r="26" spans="1:16" s="355" customFormat="1" ht="21.75" customHeight="1" x14ac:dyDescent="0.35">
      <c r="A26" s="950"/>
      <c r="B26" s="356"/>
      <c r="C26" s="514" t="s">
        <v>725</v>
      </c>
      <c r="D26" s="357"/>
      <c r="E26" s="513" t="s">
        <v>737</v>
      </c>
      <c r="F26" s="972" t="s">
        <v>738</v>
      </c>
      <c r="G26" s="973"/>
      <c r="H26" s="515" t="s">
        <v>726</v>
      </c>
      <c r="I26" s="357"/>
      <c r="K26" s="376"/>
      <c r="L26" s="376"/>
      <c r="M26" s="382"/>
      <c r="N26" s="376"/>
      <c r="O26" s="376"/>
      <c r="P26" s="376"/>
    </row>
    <row r="27" spans="1:16" s="355" customFormat="1" ht="16.5" x14ac:dyDescent="0.35">
      <c r="A27" s="950"/>
      <c r="B27" s="512" t="s">
        <v>734</v>
      </c>
      <c r="C27" s="964" t="s">
        <v>497</v>
      </c>
      <c r="D27" s="965"/>
      <c r="E27" s="965"/>
      <c r="F27" s="965"/>
      <c r="G27" s="966"/>
      <c r="H27" s="386"/>
      <c r="I27" s="357"/>
      <c r="K27" s="376"/>
      <c r="L27" s="376"/>
      <c r="M27" s="382"/>
      <c r="N27" s="376"/>
      <c r="O27" s="376"/>
      <c r="P27" s="376"/>
    </row>
    <row r="28" spans="1:16" s="355" customFormat="1" ht="15.5" x14ac:dyDescent="0.35">
      <c r="A28" s="950"/>
      <c r="B28" s="356"/>
      <c r="C28" s="366" t="s">
        <v>430</v>
      </c>
      <c r="D28" s="357"/>
      <c r="E28" s="377"/>
      <c r="F28" s="969"/>
      <c r="G28" s="970"/>
      <c r="H28" s="971"/>
      <c r="I28" s="357"/>
      <c r="K28" s="376"/>
      <c r="L28" s="376"/>
      <c r="M28" s="382"/>
      <c r="N28" s="376"/>
      <c r="O28" s="376"/>
      <c r="P28" s="376"/>
    </row>
    <row r="29" spans="1:16" s="355" customFormat="1" ht="4.5" customHeight="1" x14ac:dyDescent="0.35">
      <c r="A29" s="950"/>
      <c r="B29" s="356"/>
      <c r="C29" s="366"/>
      <c r="D29" s="357"/>
      <c r="E29" s="357"/>
      <c r="F29" s="357"/>
      <c r="G29" s="357"/>
      <c r="H29" s="357"/>
      <c r="I29" s="357"/>
      <c r="K29" s="376"/>
      <c r="L29" s="376"/>
      <c r="M29" s="382"/>
      <c r="N29" s="376"/>
      <c r="O29" s="376"/>
      <c r="P29" s="376"/>
    </row>
    <row r="30" spans="1:16" s="355" customFormat="1" ht="16.5" x14ac:dyDescent="0.35">
      <c r="A30" s="950"/>
      <c r="B30" s="512" t="s">
        <v>735</v>
      </c>
      <c r="C30" s="964" t="s">
        <v>497</v>
      </c>
      <c r="D30" s="965"/>
      <c r="E30" s="965"/>
      <c r="F30" s="965"/>
      <c r="G30" s="966"/>
      <c r="H30" s="386"/>
      <c r="I30" s="357"/>
      <c r="K30" s="376"/>
      <c r="L30" s="376"/>
      <c r="M30" s="382"/>
      <c r="N30" s="376"/>
      <c r="O30" s="376"/>
      <c r="P30" s="376"/>
    </row>
    <row r="31" spans="1:16" s="355" customFormat="1" ht="15.5" x14ac:dyDescent="0.35">
      <c r="A31" s="950"/>
      <c r="B31" s="356"/>
      <c r="C31" s="366" t="s">
        <v>430</v>
      </c>
      <c r="D31" s="357"/>
      <c r="E31" s="377"/>
      <c r="F31" s="969"/>
      <c r="G31" s="970"/>
      <c r="H31" s="971"/>
      <c r="I31" s="357"/>
      <c r="K31" s="376"/>
      <c r="L31" s="376"/>
      <c r="M31" s="382"/>
      <c r="N31" s="376"/>
      <c r="O31" s="376"/>
      <c r="P31" s="376"/>
    </row>
    <row r="32" spans="1:16" s="355" customFormat="1" ht="5.25" customHeight="1" x14ac:dyDescent="0.35">
      <c r="A32" s="950"/>
      <c r="B32" s="356"/>
      <c r="C32" s="366"/>
      <c r="D32" s="357"/>
      <c r="E32" s="357"/>
      <c r="F32" s="357"/>
      <c r="G32" s="357"/>
      <c r="H32" s="357"/>
      <c r="I32" s="357"/>
      <c r="K32" s="376"/>
      <c r="L32" s="376"/>
      <c r="M32" s="382"/>
      <c r="N32" s="376"/>
      <c r="O32" s="376"/>
      <c r="P32" s="376"/>
    </row>
    <row r="33" spans="1:17" s="355" customFormat="1" ht="16.5" x14ac:dyDescent="0.35">
      <c r="A33" s="950"/>
      <c r="B33" s="512" t="s">
        <v>736</v>
      </c>
      <c r="C33" s="964" t="s">
        <v>497</v>
      </c>
      <c r="D33" s="965"/>
      <c r="E33" s="965"/>
      <c r="F33" s="965"/>
      <c r="G33" s="966"/>
      <c r="H33" s="386"/>
      <c r="I33" s="357"/>
      <c r="K33" s="376"/>
      <c r="L33" s="376"/>
      <c r="M33" s="382"/>
      <c r="N33" s="376"/>
      <c r="O33" s="376"/>
      <c r="P33" s="376"/>
    </row>
    <row r="34" spans="1:17" s="355" customFormat="1" ht="15.5" x14ac:dyDescent="0.35">
      <c r="A34" s="950"/>
      <c r="B34" s="356"/>
      <c r="C34" s="366" t="s">
        <v>430</v>
      </c>
      <c r="D34" s="357"/>
      <c r="E34" s="377"/>
      <c r="F34" s="969"/>
      <c r="G34" s="970"/>
      <c r="H34" s="971"/>
      <c r="I34" s="357"/>
      <c r="K34" s="376"/>
      <c r="L34" s="376"/>
      <c r="M34" s="382"/>
      <c r="N34" s="376"/>
      <c r="O34" s="376"/>
      <c r="P34" s="376"/>
    </row>
    <row r="35" spans="1:17" s="355" customFormat="1" ht="7.5" customHeight="1" x14ac:dyDescent="0.35">
      <c r="A35" s="950"/>
      <c r="B35" s="356"/>
      <c r="C35" s="50"/>
      <c r="D35" s="357"/>
      <c r="E35" s="381"/>
      <c r="F35" s="381"/>
      <c r="G35" s="369"/>
      <c r="H35" s="364" t="str">
        <f>IF(VSK5_&lt;&gt;0,H102,"")</f>
        <v/>
      </c>
      <c r="I35" s="357"/>
      <c r="K35" s="376"/>
      <c r="L35" s="376"/>
      <c r="M35" s="382"/>
      <c r="N35" s="376"/>
      <c r="O35" s="376"/>
      <c r="P35" s="376"/>
    </row>
    <row r="36" spans="1:17" s="355" customFormat="1" ht="15.5" x14ac:dyDescent="0.35">
      <c r="A36" s="950"/>
      <c r="B36" s="356"/>
      <c r="C36" s="384" t="s">
        <v>429</v>
      </c>
      <c r="D36" s="357"/>
      <c r="E36" s="381"/>
      <c r="F36" s="381"/>
      <c r="G36" s="381"/>
      <c r="H36" s="364" t="str">
        <f>IF(VSK5_&lt;&gt;0,H105,"")</f>
        <v/>
      </c>
      <c r="I36" s="357"/>
      <c r="K36" s="376"/>
      <c r="L36" s="376"/>
      <c r="M36" s="382"/>
      <c r="N36" s="376"/>
      <c r="O36" s="376"/>
      <c r="P36" s="376"/>
    </row>
    <row r="37" spans="1:17" s="355" customFormat="1" ht="15.5" x14ac:dyDescent="0.35">
      <c r="A37" s="950"/>
      <c r="B37" s="356"/>
      <c r="C37" s="366" t="s">
        <v>428</v>
      </c>
      <c r="D37" s="357"/>
      <c r="E37" s="381"/>
      <c r="F37" s="369"/>
      <c r="G37" s="369"/>
      <c r="H37" s="370"/>
      <c r="I37" s="357"/>
      <c r="K37" s="376"/>
      <c r="L37" s="376"/>
      <c r="M37" s="382"/>
      <c r="N37" s="376"/>
      <c r="O37" s="376"/>
      <c r="P37" s="376"/>
    </row>
    <row r="38" spans="1:17" s="355" customFormat="1" ht="15.5" x14ac:dyDescent="0.35">
      <c r="A38" s="950"/>
      <c r="B38" s="356"/>
      <c r="C38" s="366" t="s">
        <v>427</v>
      </c>
      <c r="D38" s="357"/>
      <c r="E38" s="381"/>
      <c r="F38" s="967" t="s">
        <v>426</v>
      </c>
      <c r="G38" s="968"/>
      <c r="H38" s="387">
        <f>VLOOKUP(F38,Konstante!AG148:AI149,3,FALSE)</f>
        <v>0</v>
      </c>
      <c r="I38" s="357"/>
      <c r="K38" s="376"/>
      <c r="L38" s="376"/>
      <c r="M38" s="382"/>
      <c r="N38" s="376"/>
      <c r="O38" s="376"/>
      <c r="P38" s="376"/>
    </row>
    <row r="39" spans="1:17" s="355" customFormat="1" ht="15.5" x14ac:dyDescent="0.35">
      <c r="A39" s="950"/>
      <c r="B39" s="356"/>
      <c r="C39" s="366" t="s">
        <v>425</v>
      </c>
      <c r="D39" s="357"/>
      <c r="E39" s="381"/>
      <c r="F39" s="967" t="s">
        <v>509</v>
      </c>
      <c r="G39" s="968"/>
      <c r="H39" s="388">
        <f>VLOOKUP(F39,Konstante!AN142:AP144,3,FALSE)</f>
        <v>0</v>
      </c>
      <c r="I39" s="357"/>
      <c r="K39" s="376"/>
      <c r="L39" s="376"/>
      <c r="M39" s="382"/>
      <c r="N39" s="376"/>
      <c r="O39" s="376"/>
      <c r="P39" s="376"/>
    </row>
    <row r="40" spans="1:17" s="355" customFormat="1" ht="15.5" x14ac:dyDescent="0.35">
      <c r="A40" s="950"/>
      <c r="B40" s="356"/>
      <c r="C40" s="366" t="s">
        <v>424</v>
      </c>
      <c r="D40" s="357"/>
      <c r="E40" s="381"/>
      <c r="F40" s="967" t="s">
        <v>423</v>
      </c>
      <c r="G40" s="968"/>
      <c r="H40" s="388">
        <f>VLOOKUP(F40,Konstante!AN147:AP148,3,FALSE)</f>
        <v>0</v>
      </c>
      <c r="I40" s="357"/>
      <c r="K40" s="376"/>
      <c r="L40" s="376"/>
      <c r="M40" s="382"/>
      <c r="N40" s="376"/>
      <c r="O40" s="376"/>
      <c r="P40" s="376"/>
    </row>
    <row r="41" spans="1:17" s="355" customFormat="1" ht="15.5" x14ac:dyDescent="0.35">
      <c r="A41" s="950"/>
      <c r="B41" s="356"/>
      <c r="C41" s="366" t="s">
        <v>422</v>
      </c>
      <c r="D41" s="357"/>
      <c r="E41" s="381"/>
      <c r="F41" s="967" t="s">
        <v>531</v>
      </c>
      <c r="G41" s="968"/>
      <c r="H41" s="388">
        <f>VLOOKUP(F41,Konstante!AN151:AP153,3,FALSE)</f>
        <v>0</v>
      </c>
      <c r="I41" s="357"/>
      <c r="K41" s="376"/>
      <c r="L41" s="376"/>
      <c r="M41" s="382"/>
      <c r="N41" s="376"/>
      <c r="O41" s="376"/>
      <c r="P41" s="376"/>
    </row>
    <row r="42" spans="1:17" s="355" customFormat="1" ht="15.5" x14ac:dyDescent="0.35">
      <c r="A42" s="950"/>
      <c r="B42" s="356"/>
      <c r="C42" s="366" t="s">
        <v>420</v>
      </c>
      <c r="D42" s="357"/>
      <c r="E42" s="381"/>
      <c r="F42" s="967" t="s">
        <v>499</v>
      </c>
      <c r="G42" s="968"/>
      <c r="H42" s="388">
        <f>VLOOKUP(F42,Konstante!AR142:AT143,3,FALSE)</f>
        <v>0</v>
      </c>
      <c r="I42" s="357"/>
      <c r="K42" s="376" t="s">
        <v>629</v>
      </c>
      <c r="L42" s="376"/>
      <c r="M42" s="382"/>
      <c r="N42" s="376"/>
      <c r="O42" s="376"/>
      <c r="P42" s="389">
        <f>IF(AND(G4&gt;0,ISNUMBER(G4)),1,0)</f>
        <v>0</v>
      </c>
    </row>
    <row r="43" spans="1:17" s="355" customFormat="1" ht="15.5" x14ac:dyDescent="0.35">
      <c r="A43" s="950"/>
      <c r="B43" s="356"/>
      <c r="C43" s="366" t="s">
        <v>418</v>
      </c>
      <c r="D43" s="357"/>
      <c r="E43" s="381"/>
      <c r="F43" s="967" t="s">
        <v>417</v>
      </c>
      <c r="G43" s="968"/>
      <c r="H43" s="388">
        <f>VLOOKUP(F43,Konstante!AR147:AT148,3,FALSE)</f>
        <v>0</v>
      </c>
      <c r="I43" s="357"/>
      <c r="K43" s="376" t="s">
        <v>416</v>
      </c>
      <c r="L43" s="376"/>
      <c r="P43" s="389">
        <f>IF(AND(AnzahlPasspunkte&gt;0,ISNUMBER(AnzahlPasspunkte),VLOOKUP(C11,Konstante!F148:M152,7,FALSE)&gt;0),1,0)</f>
        <v>0</v>
      </c>
      <c r="Q43" s="376"/>
    </row>
    <row r="44" spans="1:17" s="355" customFormat="1" ht="15.5" x14ac:dyDescent="0.35">
      <c r="A44" s="950"/>
      <c r="B44" s="356"/>
      <c r="C44" s="390"/>
      <c r="D44" s="391"/>
      <c r="E44" s="390"/>
      <c r="F44" s="392"/>
      <c r="G44" s="393"/>
      <c r="H44" s="394"/>
      <c r="I44" s="357"/>
      <c r="K44" s="376" t="s">
        <v>415</v>
      </c>
      <c r="L44" s="376"/>
      <c r="M44" s="376"/>
      <c r="N44" s="376"/>
      <c r="P44" s="389">
        <f>IF(AND(H17&gt;0,ISNUMBER(H17)),1,0)</f>
        <v>0</v>
      </c>
    </row>
    <row r="45" spans="1:17" s="355" customFormat="1" ht="15.5" x14ac:dyDescent="0.35">
      <c r="A45" s="950"/>
      <c r="B45" s="356"/>
      <c r="C45" s="390"/>
      <c r="D45" s="391"/>
      <c r="E45" s="390"/>
      <c r="F45" s="392"/>
      <c r="G45" s="592" t="s">
        <v>633</v>
      </c>
      <c r="H45" s="394"/>
      <c r="I45" s="357"/>
      <c r="K45" s="376" t="s">
        <v>414</v>
      </c>
      <c r="P45" s="389">
        <f>IF(ISNUMBER(H21),1,0)</f>
        <v>0</v>
      </c>
    </row>
    <row r="46" spans="1:17" s="355" customFormat="1" ht="15.5" x14ac:dyDescent="0.35">
      <c r="A46" s="950"/>
      <c r="B46" s="356"/>
      <c r="C46" s="357" t="s">
        <v>34</v>
      </c>
      <c r="D46" s="357"/>
      <c r="E46" s="395"/>
      <c r="F46" s="357"/>
      <c r="G46" s="954"/>
      <c r="H46" s="955"/>
      <c r="I46" s="357"/>
      <c r="K46" s="376" t="s">
        <v>564</v>
      </c>
      <c r="P46" s="389">
        <f>IF(SUM(H27+H30+H33)&gt;0,1,0)</f>
        <v>0</v>
      </c>
    </row>
    <row r="47" spans="1:17" s="355" customFormat="1" ht="15.5" x14ac:dyDescent="0.35">
      <c r="A47" s="950"/>
      <c r="B47" s="356"/>
      <c r="C47" s="357" t="s">
        <v>1</v>
      </c>
      <c r="D47" s="357"/>
      <c r="E47" s="396"/>
      <c r="F47" s="357"/>
      <c r="G47" s="956"/>
      <c r="H47" s="956"/>
      <c r="I47" s="357"/>
      <c r="K47" s="376" t="s">
        <v>565</v>
      </c>
      <c r="P47" s="389">
        <f>IF(ISNUMBER(H37),1,0)</f>
        <v>0</v>
      </c>
    </row>
    <row r="48" spans="1:17" s="355" customFormat="1" ht="15.5" x14ac:dyDescent="0.35">
      <c r="A48" s="950"/>
      <c r="B48" s="356"/>
      <c r="C48" s="357"/>
      <c r="D48" s="357"/>
      <c r="E48" s="397"/>
      <c r="F48" s="357"/>
      <c r="G48" s="356"/>
      <c r="H48" s="356"/>
      <c r="I48" s="354"/>
    </row>
    <row r="49" spans="1:18" s="355" customFormat="1" ht="21" x14ac:dyDescent="0.5">
      <c r="A49" s="950"/>
      <c r="B49" s="354"/>
      <c r="C49" s="54" t="str">
        <f>IF(VSK=0, "UNVOLLSTÄNDIG AUSGEFÜLLT!","")</f>
        <v>UNVOLLSTÄNDIG AUSGEFÜLLT!</v>
      </c>
      <c r="D49" s="354"/>
      <c r="E49" s="354"/>
      <c r="F49" s="451">
        <f>IF(SUM(P42:P47)&gt;0,1,0)</f>
        <v>0</v>
      </c>
      <c r="G49" s="957" t="str">
        <f>IF(VSK&lt;&gt;0, G110,"")</f>
        <v/>
      </c>
      <c r="H49" s="957"/>
      <c r="I49" s="354"/>
      <c r="K49" s="376"/>
      <c r="L49" s="376"/>
      <c r="Q49" s="376"/>
      <c r="R49" s="376"/>
    </row>
    <row r="50" spans="1:18" s="355" customFormat="1" ht="15.5" x14ac:dyDescent="0.35">
      <c r="A50" s="950"/>
      <c r="B50" s="354"/>
      <c r="C50" s="354"/>
      <c r="D50" s="354"/>
      <c r="E50" s="354"/>
      <c r="F50" s="354"/>
      <c r="G50" s="354"/>
      <c r="H50" s="354"/>
      <c r="I50" s="354"/>
    </row>
    <row r="51" spans="1:18" ht="17.25" customHeight="1" x14ac:dyDescent="0.35">
      <c r="A51" s="830" t="s">
        <v>66</v>
      </c>
      <c r="I51" s="577" t="str">
        <f ca="1">IF(VLOOKUP(B57,CHOOSE({5,4,3,2,1},Gesamt!L32:L65,Gesamt!M32:M65,Gesamt!N32:N65,Gesamt!O32:O65,Gesamt!P32:P65,),4,0)&gt;0,CONCATENATE("Pos. ",VLOOKUP(B57,CHOOSE({5,4,3,2,1},Gesamt!L32:L65,Gesamt!M32:M65,Gesamt!N32:N65,Gesamt!O32:O65,Gesamt!P32:P65,),VLOOKUP(Gesamt!C19,Gesamt!L5:N7,3,0),0)),"")</f>
        <v/>
      </c>
    </row>
    <row r="52" spans="1:18" x14ac:dyDescent="0.35">
      <c r="A52" s="830"/>
      <c r="B52" s="831" t="str">
        <f>CONCATENATE(Gesamt!C2, ": ", Gesamt!E2)</f>
        <v xml:space="preserve">Projekt: </v>
      </c>
      <c r="C52" s="831"/>
      <c r="D52" s="831"/>
      <c r="E52" s="831"/>
      <c r="F52" s="831"/>
      <c r="G52" s="831"/>
      <c r="H52" s="831"/>
      <c r="I52" s="831"/>
    </row>
    <row r="53" spans="1:18" x14ac:dyDescent="0.35">
      <c r="A53" s="830"/>
      <c r="B53" s="832" t="str">
        <f>CONCATENATE(Gesamt!C4, ": ", Gesamt!E4, IF(Gesamt!E5&lt;&gt;""," - ",""), IF(Gesamt!E5&lt;&gt;"",Gesamt!E5,""), IF(Gesamt!E6&lt;&gt;""," - GZ. ",""), IF(Gesamt!E6&lt;&gt;"",Gesamt!E6,""),)</f>
        <v xml:space="preserve">Auftraggeber: </v>
      </c>
      <c r="C53" s="832"/>
      <c r="D53" s="832"/>
      <c r="E53" s="832"/>
      <c r="F53" s="832"/>
      <c r="G53" s="832"/>
      <c r="H53" s="832"/>
      <c r="I53" s="832"/>
    </row>
    <row r="54" spans="1:18" x14ac:dyDescent="0.35">
      <c r="A54" s="830"/>
      <c r="B54" s="832" t="str">
        <f>CONCATENATE(Gesamt!C9, ": ",Gesamt!E9,  IF(Gesamt!C10&lt;&gt;""," - ",""), IF(Gesamt!C10&lt;&gt;"",Gesamt!E10,""), IF(Gesamt!C11&lt;&gt;""," - GZ. ",""), IF(Gesamt!C11&lt;&gt;"",Gesamt!E11,""), )</f>
        <v xml:space="preserve">Bieter:  -  - GZ. </v>
      </c>
      <c r="C54" s="832"/>
      <c r="D54" s="832"/>
      <c r="E54" s="832"/>
      <c r="F54" s="832"/>
      <c r="G54" s="832"/>
      <c r="H54" s="832"/>
      <c r="I54" s="832"/>
    </row>
    <row r="55" spans="1:18" x14ac:dyDescent="0.35">
      <c r="A55" s="830"/>
      <c r="B55" s="832" t="s">
        <v>41</v>
      </c>
      <c r="C55" s="832"/>
      <c r="D55" s="832"/>
      <c r="E55" s="832"/>
      <c r="F55" s="832"/>
      <c r="G55" s="832"/>
      <c r="H55" s="832"/>
      <c r="I55" s="832"/>
    </row>
    <row r="56" spans="1:18" ht="10.5" customHeight="1" x14ac:dyDescent="0.35">
      <c r="A56" s="830"/>
    </row>
    <row r="57" spans="1:18" ht="18.5" x14ac:dyDescent="0.35">
      <c r="A57" s="830"/>
      <c r="B57" s="843" t="str">
        <f>D2</f>
        <v>Photogrammetrie</v>
      </c>
      <c r="C57" s="843"/>
      <c r="D57" s="843"/>
      <c r="E57" s="843"/>
      <c r="F57" s="843"/>
      <c r="G57" s="843"/>
      <c r="H57" s="843"/>
      <c r="I57" s="843"/>
    </row>
    <row r="58" spans="1:18" s="234" customFormat="1" ht="6.75" customHeight="1" x14ac:dyDescent="0.3">
      <c r="A58" s="830"/>
    </row>
    <row r="59" spans="1:18" s="234" customFormat="1" x14ac:dyDescent="0.35">
      <c r="A59" s="830"/>
      <c r="C59" s="234" t="s">
        <v>696</v>
      </c>
      <c r="F59" s="409" t="s">
        <v>413</v>
      </c>
      <c r="G59" s="118">
        <f>Gesamt!E14</f>
        <v>0</v>
      </c>
    </row>
    <row r="60" spans="1:18" s="234" customFormat="1" ht="9" customHeight="1" x14ac:dyDescent="0.3">
      <c r="A60" s="830"/>
    </row>
    <row r="61" spans="1:18" ht="15.5" x14ac:dyDescent="0.35">
      <c r="A61" s="830"/>
      <c r="C61" s="398" t="s">
        <v>412</v>
      </c>
      <c r="H61" s="22">
        <f>G4</f>
        <v>0</v>
      </c>
    </row>
    <row r="62" spans="1:18" s="399" customFormat="1" ht="7.5" customHeight="1" x14ac:dyDescent="0.3">
      <c r="A62" s="830"/>
      <c r="C62" s="400"/>
    </row>
    <row r="63" spans="1:18" ht="15.5" x14ac:dyDescent="0.35">
      <c r="A63" s="830"/>
      <c r="C63" s="401" t="s">
        <v>411</v>
      </c>
    </row>
    <row r="64" spans="1:18" s="234" customFormat="1" ht="13" x14ac:dyDescent="0.3">
      <c r="A64" s="830"/>
      <c r="C64" s="234" t="s">
        <v>410</v>
      </c>
      <c r="D64" s="402">
        <f>VLOOKUP(Masstab,Konstante!C142:D148,2,FALSE)</f>
        <v>1.2</v>
      </c>
      <c r="E64" s="292" t="str">
        <f>CONCATENATE("Auswertemaßstab ",Masstab)</f>
        <v>Auswertemaßstab 1 : 1.000</v>
      </c>
    </row>
    <row r="65" spans="1:12" s="234" customFormat="1" ht="13" x14ac:dyDescent="0.3">
      <c r="A65" s="830"/>
      <c r="C65" s="234" t="s">
        <v>266</v>
      </c>
      <c r="D65" s="403">
        <f>AnzahlPasspunkte</f>
        <v>0</v>
      </c>
      <c r="E65" s="292" t="s">
        <v>409</v>
      </c>
    </row>
    <row r="66" spans="1:12" s="234" customFormat="1" ht="13" x14ac:dyDescent="0.3">
      <c r="A66" s="830"/>
      <c r="C66" s="234" t="str">
        <f>CONCATENATE(C11, ", ", G10)</f>
        <v>Vorhandene Festpunkte mit Abständen &lt; 1km, leicht zugänglich</v>
      </c>
      <c r="D66" s="404"/>
    </row>
    <row r="67" spans="1:12" s="405" customFormat="1" ht="13" x14ac:dyDescent="0.35">
      <c r="A67" s="830"/>
      <c r="C67" s="405" t="s">
        <v>408</v>
      </c>
      <c r="D67" s="402">
        <f>VLOOKUP(C11,Konstante!F147:M152,6+VLOOKUP(G10,Konstante!F142:H143,3,FALSE),FALSE)</f>
        <v>3</v>
      </c>
      <c r="E67" s="405" t="s">
        <v>1146</v>
      </c>
    </row>
    <row r="68" spans="1:12" s="234" customFormat="1" ht="13" x14ac:dyDescent="0.3">
      <c r="A68" s="830"/>
      <c r="C68" s="234" t="s">
        <v>407</v>
      </c>
      <c r="D68" s="402">
        <f>VLOOKUP(G12,Konstante!I142:K145,3,FALSE)</f>
        <v>0.5</v>
      </c>
      <c r="E68" s="234" t="str">
        <f>IF(D68&gt;0,CONCATENATE("Passpunktdokumentation: ",G12), "keine Passpunktdokumentation")</f>
        <v>Passpunktdokumentation: Eintragung in Skizzen</v>
      </c>
    </row>
    <row r="69" spans="1:12" s="234" customFormat="1" ht="13" x14ac:dyDescent="0.3">
      <c r="A69" s="830"/>
      <c r="C69" s="234" t="s">
        <v>406</v>
      </c>
      <c r="D69" s="406">
        <f>IF(ISNUMBER(E13),E13,0)</f>
        <v>0.05</v>
      </c>
      <c r="E69" s="234" t="str">
        <f>IF(AND(ISNUMBER(E13),F13&lt;&gt;""),CONCATENATE("Zuschlag für ",F13),IF(AND(ISNUMBER(E13),F13=""),"Sonderzuschlag","keine sonstigen Zuschläge"))</f>
        <v>Zuschlag für Gebirgstäler</v>
      </c>
    </row>
    <row r="70" spans="1:12" x14ac:dyDescent="0.35">
      <c r="A70" s="830"/>
      <c r="C70" s="3" t="s">
        <v>60</v>
      </c>
      <c r="D70" s="291" t="str">
        <f>IF(C11=Konstante!F152,"Keine Formel! &gt; Bearbeitungsaufwand nach Zeitaufwand!","H = (n * F + 5) * IS * M * (1+ z) + (n * d * IST)")</f>
        <v>H = (n * F + 5) * IS * M * (1+ z) + (n * d * IST)</v>
      </c>
      <c r="E70" s="3"/>
      <c r="H70" s="22">
        <f>IF(VSK1_&lt;&gt;0,((D65*D67+5)*IS*D64*(D69+1)+(D65*D68*IS)),0)</f>
        <v>0</v>
      </c>
      <c r="L70" s="15"/>
    </row>
    <row r="71" spans="1:12" s="399" customFormat="1" ht="7.5" customHeight="1" x14ac:dyDescent="0.3">
      <c r="A71" s="830"/>
      <c r="C71" s="407"/>
    </row>
    <row r="72" spans="1:12" ht="15.5" x14ac:dyDescent="0.35">
      <c r="A72" s="830"/>
      <c r="C72" s="408" t="s">
        <v>405</v>
      </c>
      <c r="E72" s="234" t="str">
        <f>CONCATENATE("(",H16,"e Messung der Verknüpfungspunkte)")</f>
        <v>(automatische Messung der Verknüpfungspunkte)</v>
      </c>
      <c r="G72" s="3"/>
      <c r="H72" s="3"/>
      <c r="I72" s="3"/>
    </row>
    <row r="73" spans="1:12" s="234" customFormat="1" ht="13" x14ac:dyDescent="0.3">
      <c r="A73" s="830"/>
      <c r="C73" s="234" t="s">
        <v>337</v>
      </c>
      <c r="D73" s="201">
        <f>H17</f>
        <v>0</v>
      </c>
      <c r="E73" s="234" t="s">
        <v>404</v>
      </c>
      <c r="F73" s="409"/>
    </row>
    <row r="74" spans="1:12" s="234" customFormat="1" ht="13" x14ac:dyDescent="0.3">
      <c r="A74" s="830"/>
      <c r="C74" s="234" t="s">
        <v>400</v>
      </c>
      <c r="D74" s="201">
        <f>IF(H16="automatisch",IF(H17&gt;=100,0.1,IF(H17&gt;50,0.3,IF(H17&gt;10,0.5,0.8))))</f>
        <v>0.8</v>
      </c>
      <c r="E74" s="234" t="s">
        <v>399</v>
      </c>
    </row>
    <row r="75" spans="1:12" x14ac:dyDescent="0.35">
      <c r="A75" s="830"/>
      <c r="C75" s="3" t="s">
        <v>60</v>
      </c>
      <c r="D75" s="291" t="str">
        <f>IF(H16=Konstante!O142,"H = n * (0,15 + A) * IST","H = n * (0,25 + A) * IST")</f>
        <v>H = n * (0,15 + A) * IST</v>
      </c>
      <c r="E75" s="3"/>
      <c r="H75" s="22">
        <f>IF(VSK2_&lt;&gt;0,IF(H16=Konstante!O142,D73*(0.15+D74)*IS,D73*(0.25+D74)*IS),0)</f>
        <v>0</v>
      </c>
    </row>
    <row r="76" spans="1:12" s="399" customFormat="1" ht="7.5" customHeight="1" x14ac:dyDescent="0.3">
      <c r="A76" s="830"/>
      <c r="B76" s="410"/>
    </row>
    <row r="77" spans="1:12" ht="15.5" x14ac:dyDescent="0.35">
      <c r="A77" s="830"/>
      <c r="C77" s="408" t="s">
        <v>403</v>
      </c>
    </row>
    <row r="78" spans="1:12" x14ac:dyDescent="0.35">
      <c r="A78" s="830"/>
      <c r="C78" s="3" t="s">
        <v>402</v>
      </c>
    </row>
    <row r="79" spans="1:12" s="234" customFormat="1" ht="13" x14ac:dyDescent="0.3">
      <c r="A79" s="830"/>
      <c r="C79" s="234" t="s">
        <v>337</v>
      </c>
      <c r="D79" s="411">
        <f>H21</f>
        <v>0</v>
      </c>
      <c r="E79" s="234" t="s">
        <v>401</v>
      </c>
    </row>
    <row r="80" spans="1:12" s="234" customFormat="1" ht="13" x14ac:dyDescent="0.3">
      <c r="A80" s="830"/>
      <c r="C80" s="234" t="s">
        <v>400</v>
      </c>
      <c r="D80" s="201">
        <f>IF(H21&gt;=500,0.006,IF(H21&gt;=250,0.01,0.02))</f>
        <v>0.02</v>
      </c>
      <c r="E80" s="234" t="s">
        <v>399</v>
      </c>
    </row>
    <row r="81" spans="1:9" x14ac:dyDescent="0.35">
      <c r="A81" s="830"/>
      <c r="C81" s="3" t="s">
        <v>60</v>
      </c>
      <c r="D81" s="291" t="s">
        <v>1052</v>
      </c>
      <c r="E81" s="3"/>
      <c r="H81" s="22">
        <f>IF(VSK3_&lt;&gt;0,D79*(0.05+D80)*IS,0)</f>
        <v>0</v>
      </c>
    </row>
    <row r="82" spans="1:9" s="399" customFormat="1" ht="7.5" customHeight="1" x14ac:dyDescent="0.3">
      <c r="A82" s="830"/>
    </row>
    <row r="83" spans="1:9" x14ac:dyDescent="0.35">
      <c r="A83" s="830"/>
      <c r="C83" s="3" t="s">
        <v>398</v>
      </c>
      <c r="F83" s="234" t="str">
        <f>CONCATENATE(Masstab, ", ", VLOOKUP(F23,Konstante!O149:Q151,3,FALSE))</f>
        <v>1 : 1.000, Auswertung nach Lage und Höhe</v>
      </c>
    </row>
    <row r="84" spans="1:9" s="234" customFormat="1" ht="13.5" customHeight="1" x14ac:dyDescent="0.45">
      <c r="A84" s="830"/>
      <c r="C84" t="s">
        <v>727</v>
      </c>
      <c r="D84" s="507">
        <f>H27</f>
        <v>0</v>
      </c>
      <c r="E84" s="292" t="str">
        <f>C27</f>
        <v>Ackerland mit großen Grundstücken, Geländeklasse I (eben)</v>
      </c>
      <c r="F84" s="292"/>
      <c r="G84" s="292"/>
      <c r="H84" s="292"/>
    </row>
    <row r="85" spans="1:9" s="133" customFormat="1" ht="10.5" x14ac:dyDescent="0.25">
      <c r="A85" s="830"/>
      <c r="C85" s="133" t="str">
        <f>IF(OR(E28=0,E28=""),"","")</f>
        <v/>
      </c>
      <c r="D85" s="508" t="str">
        <f>IF(OR(E28=0,E28=""),"",E28)</f>
        <v/>
      </c>
      <c r="E85" s="509" t="str">
        <f>IF(ISNUMBER(D85),IF(F28&lt;&gt;"",F28,""),"keine weiteren Zu-/Abschläge")</f>
        <v>keine weiteren Zu-/Abschläge</v>
      </c>
    </row>
    <row r="86" spans="1:9" s="234" customFormat="1" ht="13.5" customHeight="1" x14ac:dyDescent="0.45">
      <c r="A86" s="830"/>
      <c r="C86" t="s">
        <v>731</v>
      </c>
      <c r="D86" s="507">
        <f>H30</f>
        <v>0</v>
      </c>
      <c r="E86" s="292" t="str">
        <f>C30</f>
        <v>Ackerland mit großen Grundstücken, Geländeklasse I (eben)</v>
      </c>
      <c r="F86" s="292"/>
      <c r="G86" s="292"/>
      <c r="H86" s="292"/>
    </row>
    <row r="87" spans="1:9" s="133" customFormat="1" ht="10.5" x14ac:dyDescent="0.25">
      <c r="A87" s="830"/>
      <c r="C87" s="133" t="str">
        <f>IF(OR(E30=0,E30=""),"","")</f>
        <v/>
      </c>
      <c r="D87" s="508" t="str">
        <f>IF(OR(E31=0,E31=""),"",E31)</f>
        <v/>
      </c>
      <c r="E87" s="509" t="str">
        <f>IF(ISNUMBER(D87),IF(F31&lt;&gt;"",F31,""),"keine weiteren Zu-/Abschläge")</f>
        <v>keine weiteren Zu-/Abschläge</v>
      </c>
    </row>
    <row r="88" spans="1:9" s="234" customFormat="1" ht="13.5" customHeight="1" x14ac:dyDescent="0.45">
      <c r="A88" s="830"/>
      <c r="C88" t="s">
        <v>732</v>
      </c>
      <c r="D88" s="507">
        <f>H33</f>
        <v>0</v>
      </c>
      <c r="E88" s="292" t="str">
        <f>C33</f>
        <v>Ackerland mit großen Grundstücken, Geländeklasse I (eben)</v>
      </c>
      <c r="F88" s="292"/>
      <c r="G88" s="292"/>
      <c r="H88" s="292"/>
    </row>
    <row r="89" spans="1:9" s="133" customFormat="1" ht="10.5" x14ac:dyDescent="0.25">
      <c r="A89" s="830"/>
      <c r="C89" s="133" t="str">
        <f>IF(OR(E32=0,E32=""),"","")</f>
        <v/>
      </c>
      <c r="D89" s="508" t="str">
        <f>IF(OR(E34=0,E34=""),"",E34)</f>
        <v/>
      </c>
      <c r="E89" s="509" t="str">
        <f>IF(ISNUMBER(D89),IF(F34&lt;&gt;"",F34,""),"keine weiteren Zu-/Abschläge")</f>
        <v>keine weiteren Zu-/Abschläge</v>
      </c>
    </row>
    <row r="90" spans="1:9" s="234" customFormat="1" ht="13" x14ac:dyDescent="0.3">
      <c r="A90" s="830"/>
      <c r="C90" s="234" t="s">
        <v>397</v>
      </c>
      <c r="D90" s="412">
        <f>VLOOKUP(H$6,Konstante!AW143:BA149,1+VLOOKUP(C27,Konstante!W142:AD153,8,FALSE),FALSE)</f>
        <v>0.60599999999999998</v>
      </c>
      <c r="E90" s="412">
        <f>VLOOKUP(H$6,Konstante!AW143:BA149,1+VLOOKUP(C30,Konstante!W142:AD153,8,FALSE),FALSE)</f>
        <v>0.60599999999999998</v>
      </c>
      <c r="F90" s="412">
        <f>VLOOKUP(H$6,Konstante!AW143:BA149,1+VLOOKUP(C33,Konstante!W142:AD153,8,FALSE),FALSE)</f>
        <v>0.60599999999999998</v>
      </c>
      <c r="G90" s="234" t="s">
        <v>1053</v>
      </c>
    </row>
    <row r="91" spans="1:9" s="234" customFormat="1" ht="13" x14ac:dyDescent="0.3">
      <c r="A91" s="830"/>
      <c r="C91" s="234" t="s">
        <v>396</v>
      </c>
      <c r="D91" s="412" t="str">
        <f>IF(F23&lt;&gt;Konstante!O149,VLOOKUP(C27,Konstante!W142:AE153,9,FALSE),"")</f>
        <v/>
      </c>
      <c r="E91" s="412" t="str">
        <f>IF(F23&lt;&gt;Konstante!O149,VLOOKUP(C30,Konstante!W142:AE153,9,FALSE),"")</f>
        <v/>
      </c>
      <c r="F91" s="412" t="str">
        <f>IF(F23&lt;&gt;Konstante!O149,VLOOKUP(C33,Konstante!W142:AE153,9,FALSE),"")</f>
        <v/>
      </c>
      <c r="G91" s="234" t="str">
        <f>IF(F23&lt;&gt;Konstante!O149,"Faktor aus Tabelle 31","kommt nicht zur Anwendung")</f>
        <v>kommt nicht zur Anwendung</v>
      </c>
    </row>
    <row r="92" spans="1:9" s="234" customFormat="1" ht="13" x14ac:dyDescent="0.3">
      <c r="A92" s="830"/>
      <c r="C92" s="234" t="s">
        <v>395</v>
      </c>
      <c r="D92" s="412">
        <f>IF(OR(F23=Konstante!O149,F23=Konstante!O151),VLOOKUP(E24,Konstante!AG142:AL144,6,FALSE),"")</f>
        <v>0.9</v>
      </c>
      <c r="E92" s="412">
        <f>IF(OR(F23=Konstante!O149,F23=Konstante!O151),VLOOKUP(E24,Konstante!AG142:AL144,6,FALSE),"")</f>
        <v>0.9</v>
      </c>
      <c r="F92" s="412">
        <f>IF(OR(F23=Konstante!O149,F23=Konstante!O151),VLOOKUP(E24,Konstante!AG142:AL144,6,FALSE),"")</f>
        <v>0.9</v>
      </c>
      <c r="G92" s="744" t="str">
        <f>IF(OR(F23=Konstante!O149,F23=Konstante!O151),"Faktor aus Tabelle 29","kommt nicht zur Anwendung")</f>
        <v>Faktor aus Tabelle 29</v>
      </c>
    </row>
    <row r="93" spans="1:9" s="234" customFormat="1" ht="13" x14ac:dyDescent="0.3">
      <c r="A93" s="830"/>
      <c r="C93" s="234" t="s">
        <v>394</v>
      </c>
      <c r="D93" s="413">
        <f>IF((H27/VLOOKUP(H6,Konstante!BC143:BE149,2,FALSE))&gt;0.15,0.85,ROUND(1-(H27/VLOOKUP(H6,Konstante!BC143:BE149,2,FALSE)),2))</f>
        <v>1</v>
      </c>
      <c r="E93" s="413">
        <f>IF((H30/VLOOKUP(H6,Konstante!BC143:BE149,2,FALSE))&gt;0.15,0.85,ROUND(1-(H30/VLOOKUP(H6,Konstante!BC143:BE149,2,FALSE)),2))</f>
        <v>1</v>
      </c>
      <c r="F93" s="413">
        <f>IF((H33/VLOOKUP(H6,Konstante!BC143:BE149,2,FALSE))&gt;0.15,0.85,ROUND(1-(H33/VLOOKUP(H6,Konstante!BC143:BE149,2,FALSE)),2))</f>
        <v>1</v>
      </c>
      <c r="G93" s="234" t="s">
        <v>1054</v>
      </c>
    </row>
    <row r="94" spans="1:9" s="133" customFormat="1" ht="10.5" x14ac:dyDescent="0.25">
      <c r="A94" s="830"/>
      <c r="D94" s="511">
        <f>IF(VSK4_&lt;&gt;0,PRODUCT($D$84,D90,IF(D91="",1,D91),IF(D92="",IF($F$23=Konstante!$O$151,0.7,1),D92),D93,IS,SUM(1,$D$85),),0)</f>
        <v>0</v>
      </c>
      <c r="E94" s="511">
        <f>IF(VSK4_&lt;&gt;0,PRODUCT($D$86,E90,IF(E91="",1,E91),IF(E92="",IF($F$23=Konstante!$O$151,0.7,1),E92),E93,IS,SUM(1,$D$87),),0)</f>
        <v>0</v>
      </c>
      <c r="F94" s="511">
        <f>IF(VSK4_&lt;&gt;0,PRODUCT($D$88,F90,IF(F91="",1,F91),IF(F92="",IF($F$23=Konstante!$O$151,0.7,1),F92),F93,IS,SUM(1,$D$89),),0)</f>
        <v>0</v>
      </c>
      <c r="G94" s="133" t="s">
        <v>733</v>
      </c>
    </row>
    <row r="95" spans="1:9" x14ac:dyDescent="0.35">
      <c r="A95" s="830"/>
      <c r="C95" s="3" t="s">
        <v>60</v>
      </c>
      <c r="D95" s="291" t="str">
        <f>CONCATENATE(VLOOKUP(F23,Konstante!O149:T151,6,FALSE),IF(D85=0,"","  zuzügl. Ab-/Zuschläge"))</f>
        <v>H1 = Q x F2 x F4 x T x IST  zuzügl. Ab-/Zuschläge</v>
      </c>
      <c r="E95" s="3"/>
      <c r="H95" s="22">
        <f>SUM(D94:F94)</f>
        <v>0</v>
      </c>
      <c r="I95" s="141"/>
    </row>
    <row r="96" spans="1:9" s="399" customFormat="1" ht="7.5" customHeight="1" x14ac:dyDescent="0.3">
      <c r="A96" s="830"/>
    </row>
    <row r="97" spans="1:12" x14ac:dyDescent="0.35">
      <c r="A97" s="830"/>
      <c r="C97" s="3" t="s">
        <v>566</v>
      </c>
    </row>
    <row r="98" spans="1:12" s="234" customFormat="1" ht="13" x14ac:dyDescent="0.3">
      <c r="A98" s="830"/>
      <c r="C98" s="234" t="s">
        <v>567</v>
      </c>
      <c r="F98" s="415">
        <f>H37</f>
        <v>0</v>
      </c>
    </row>
    <row r="99" spans="1:12" s="133" customFormat="1" ht="10.5" x14ac:dyDescent="0.25">
      <c r="A99" s="830"/>
      <c r="C99" s="133" t="s">
        <v>148</v>
      </c>
      <c r="F99" s="510" t="str">
        <f t="shared" ref="F99:F104" si="0">F38</f>
        <v>eben, hügelig</v>
      </c>
      <c r="H99" s="133" t="str">
        <f t="shared" ref="H99:H104" si="1">IF(H38=0,"",(IF(H38&lt;0,CONCATENATE(ABS(H38)*100,"% Abschlag"),CONCATENATE(H38*100,"% Aufschlag"))))</f>
        <v/>
      </c>
    </row>
    <row r="100" spans="1:12" s="133" customFormat="1" ht="10.5" x14ac:dyDescent="0.25">
      <c r="A100" s="830"/>
      <c r="C100" s="133" t="s">
        <v>568</v>
      </c>
      <c r="F100" s="510" t="str">
        <f t="shared" si="0"/>
        <v>Winter</v>
      </c>
      <c r="H100" s="133" t="str">
        <f t="shared" si="1"/>
        <v/>
      </c>
    </row>
    <row r="101" spans="1:12" s="133" customFormat="1" ht="10.5" x14ac:dyDescent="0.25">
      <c r="A101" s="830"/>
      <c r="C101" s="133" t="s">
        <v>569</v>
      </c>
      <c r="F101" s="510" t="str">
        <f t="shared" si="0"/>
        <v>Sonnenhöchststand +/-2h</v>
      </c>
      <c r="H101" s="133" t="str">
        <f t="shared" si="1"/>
        <v/>
      </c>
    </row>
    <row r="102" spans="1:12" s="133" customFormat="1" ht="10.5" x14ac:dyDescent="0.25">
      <c r="A102" s="830"/>
      <c r="C102" s="133" t="s">
        <v>570</v>
      </c>
      <c r="F102" s="510" t="str">
        <f t="shared" si="0"/>
        <v>für einen Tag</v>
      </c>
      <c r="H102" s="133" t="str">
        <f t="shared" si="1"/>
        <v/>
      </c>
    </row>
    <row r="103" spans="1:12" s="133" customFormat="1" ht="10.5" x14ac:dyDescent="0.25">
      <c r="A103" s="830"/>
      <c r="C103" s="133" t="s">
        <v>571</v>
      </c>
      <c r="F103" s="510" t="str">
        <f t="shared" si="0"/>
        <v>ländliche Gebiete</v>
      </c>
      <c r="H103" s="133" t="str">
        <f t="shared" si="1"/>
        <v/>
      </c>
    </row>
    <row r="104" spans="1:12" s="133" customFormat="1" ht="10.5" x14ac:dyDescent="0.25">
      <c r="A104" s="830"/>
      <c r="C104" s="133" t="s">
        <v>572</v>
      </c>
      <c r="F104" s="510" t="str">
        <f t="shared" si="0"/>
        <v>Normalwinkel</v>
      </c>
      <c r="H104" s="133" t="str">
        <f t="shared" si="1"/>
        <v/>
      </c>
    </row>
    <row r="105" spans="1:12" x14ac:dyDescent="0.35">
      <c r="A105" s="830"/>
      <c r="C105" s="3" t="s">
        <v>60</v>
      </c>
      <c r="D105" s="291" t="s">
        <v>1055</v>
      </c>
      <c r="E105" s="3"/>
      <c r="H105" s="22">
        <f>IF(VSK5_&lt;&gt;0,F98*0.25*IS*(1+SUM(H38:H43)),0)</f>
        <v>0</v>
      </c>
      <c r="I105" s="141"/>
    </row>
    <row r="106" spans="1:12" s="399" customFormat="1" ht="7.5" customHeight="1" x14ac:dyDescent="0.3">
      <c r="A106" s="830"/>
    </row>
    <row r="107" spans="1:12" s="234" customFormat="1" ht="13" x14ac:dyDescent="0.3">
      <c r="A107" s="830"/>
      <c r="B107" s="416"/>
      <c r="C107" s="234" t="str">
        <f>IF(AND(ZuAbschlag&lt;&gt;0,VSK&lt;&gt;0),"Zu-/Abschlag:","")</f>
        <v/>
      </c>
      <c r="E107" s="417" t="str">
        <f>IF(AND(ZuAbschlag&lt;&gt;0,VSK&lt;&gt;0),ZuAbschlag,"")</f>
        <v/>
      </c>
      <c r="F107" s="418" t="str">
        <f>IF(AND(ZuAbschlag&lt;&gt;0,VSK&lt;&gt;0),H61*E107+H70*E107+H75*E107+H81*E107+H95*E107+H105*E107,"")</f>
        <v/>
      </c>
      <c r="G107" s="414" t="str">
        <f>IF(AND(ZuAbschlag&lt;&gt;0,VSK&lt;&gt;0,G46&lt;&gt;""),G46,"")</f>
        <v/>
      </c>
      <c r="L107" s="459"/>
    </row>
    <row r="108" spans="1:12" s="234" customFormat="1" ht="13" x14ac:dyDescent="0.3">
      <c r="A108" s="830"/>
      <c r="C108" s="453" t="str">
        <f>IF(AND(NK&lt;&gt;0,VSK&lt;&gt;0),"Nebenkosten:","")</f>
        <v/>
      </c>
      <c r="D108" s="453"/>
      <c r="E108" s="453"/>
      <c r="F108" s="454" t="str">
        <f>IF(AND(NK&lt;&gt;0,VSK&lt;&gt;0),NK,"")</f>
        <v/>
      </c>
      <c r="G108" s="323" t="str">
        <f>IF(AND(NK&lt;&gt;0,VSK&lt;&gt;0,G47&lt;&gt;""),G47,"")</f>
        <v/>
      </c>
      <c r="H108" s="453"/>
    </row>
    <row r="109" spans="1:12" s="399" customFormat="1" ht="7.5" customHeight="1" x14ac:dyDescent="0.3">
      <c r="A109" s="830"/>
      <c r="I109" s="410"/>
    </row>
    <row r="110" spans="1:12" ht="15.5" x14ac:dyDescent="0.35">
      <c r="A110" s="830"/>
      <c r="C110" s="16" t="s">
        <v>65</v>
      </c>
      <c r="D110" s="16"/>
      <c r="E110" s="16"/>
      <c r="F110" s="16"/>
      <c r="G110" s="842">
        <f>IF(VSK&gt;0,SUM(H61,H70,H75,H81,H95,H105,F107,F108),0)</f>
        <v>0</v>
      </c>
      <c r="H110" s="842"/>
    </row>
  </sheetData>
  <mergeCells count="32">
    <mergeCell ref="F43:G43"/>
    <mergeCell ref="F28:H28"/>
    <mergeCell ref="G10:H10"/>
    <mergeCell ref="G12:H12"/>
    <mergeCell ref="F13:H13"/>
    <mergeCell ref="F39:G39"/>
    <mergeCell ref="F40:G40"/>
    <mergeCell ref="F41:G41"/>
    <mergeCell ref="F42:G42"/>
    <mergeCell ref="A51:A110"/>
    <mergeCell ref="B52:I52"/>
    <mergeCell ref="B53:I53"/>
    <mergeCell ref="B54:I54"/>
    <mergeCell ref="B55:I55"/>
    <mergeCell ref="B57:I57"/>
    <mergeCell ref="G110:H110"/>
    <mergeCell ref="A1:A50"/>
    <mergeCell ref="D2:H2"/>
    <mergeCell ref="G46:H46"/>
    <mergeCell ref="G47:H47"/>
    <mergeCell ref="G49:H49"/>
    <mergeCell ref="F23:H23"/>
    <mergeCell ref="E24:H24"/>
    <mergeCell ref="C11:H11"/>
    <mergeCell ref="C27:G27"/>
    <mergeCell ref="F38:G38"/>
    <mergeCell ref="C30:G30"/>
    <mergeCell ref="F31:H31"/>
    <mergeCell ref="C33:G33"/>
    <mergeCell ref="F34:H34"/>
    <mergeCell ref="F26:G26"/>
    <mergeCell ref="G4:H4"/>
  </mergeCells>
  <dataValidations count="9">
    <dataValidation type="decimal" operator="greaterThan" allowBlank="1" showInputMessage="1" showErrorMessage="1" error="Flugkosten ab € 0,00" sqref="G4:H4" xr:uid="{00000000-0002-0000-1400-000000000000}">
      <formula1>-0.001</formula1>
    </dataValidation>
    <dataValidation type="decimal" operator="greaterThan" allowBlank="1" showInputMessage="1" showErrorMessage="1" error="Polygonzug muss  mindestens 0,01 km lang sein!" sqref="H18:H19 G5 G7" xr:uid="{00000000-0002-0000-1400-000001000000}">
      <formula1>0.005</formula1>
    </dataValidation>
    <dataValidation type="decimal" allowBlank="1" showInputMessage="1" showErrorMessage="1" sqref="H14" xr:uid="{00000000-0002-0000-1400-000002000000}">
      <formula1>0</formula1>
      <formula2>2</formula2>
    </dataValidation>
    <dataValidation type="whole" operator="greaterThan" allowBlank="1" showInputMessage="1" showErrorMessage="1" error="ganze Zahl größer 0 erwartet!" sqref="H21 H37 H17 H9" xr:uid="{00000000-0002-0000-1400-000003000000}">
      <formula1>-1</formula1>
    </dataValidation>
    <dataValidation type="decimal" operator="greaterThan" showInputMessage="1" showErrorMessage="1" sqref="E46:E47" xr:uid="{00000000-0002-0000-1400-000004000000}">
      <formula1>-1000</formula1>
    </dataValidation>
    <dataValidation type="custom" allowBlank="1" showInputMessage="1" showErrorMessage="1" sqref="J22" xr:uid="{00000000-0002-0000-1400-000005000000}">
      <formula1>#REF!</formula1>
    </dataValidation>
    <dataValidation type="custom" allowBlank="1" showInputMessage="1" showErrorMessage="1" sqref="M24:M26" xr:uid="{00000000-0002-0000-1400-000006000000}">
      <formula1>47*2*#REF!</formula1>
    </dataValidation>
    <dataValidation type="decimal" operator="greaterThan" allowBlank="1" showInputMessage="1" showErrorMessage="1" error="Zahl ab 0 erwartet!" sqref="H27 H30 H33" xr:uid="{00000000-0002-0000-1400-000008000000}">
      <formula1>-0.000000001</formula1>
    </dataValidation>
    <dataValidation operator="greaterThan" showInputMessage="1" showErrorMessage="1" sqref="H16" xr:uid="{00000000-0002-0000-1400-00000F000000}"/>
  </dataValidations>
  <pageMargins left="0.70866141732283472" right="0.39370078740157483" top="0.59055118110236227" bottom="0.59055118110236227" header="0.31496062992125984" footer="0.31496062992125984"/>
  <pageSetup paperSize="9" orientation="portrait" r:id="rId1"/>
  <headerFooter>
    <oddFooter>&amp;L&amp;9&amp;F, &amp;A&amp;R&amp;9&amp;D</oddFooter>
  </headerFooter>
  <ignoredErrors>
    <ignoredError sqref="G49" unlockedFormula="1"/>
  </ignoredErrors>
  <legacyDrawingHF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3" id="{BCA20C8D-C670-43EE-AE33-D302246D0B7D}">
            <xm:f>OR(C31=Konstante!W158,C31=Konstante!W160,C31=Konstante!W161)</xm:f>
            <x14:dxf>
              <font>
                <color rgb="FFFF0000"/>
              </font>
            </x14:dxf>
          </x14:cfRule>
          <xm:sqref>C32</xm:sqref>
        </x14:conditionalFormatting>
        <x14:conditionalFormatting xmlns:xm="http://schemas.microsoft.com/office/excel/2006/main">
          <x14:cfRule type="expression" priority="7" id="{92E9F91D-8ADB-4A6A-AA79-691201173C55}">
            <xm:f>OR(#REF!=Konstante!W160,#REF!=Konstante!W162,#REF!=Konstante!W163)</xm:f>
            <x14:dxf>
              <font>
                <b val="0"/>
                <i val="0"/>
                <strike val="0"/>
                <color rgb="FFFF0000"/>
              </font>
              <numFmt numFmtId="30" formatCode="@"/>
            </x14:dxf>
          </x14:cfRule>
          <xm:sqref>C35</xm:sqref>
        </x14:conditionalFormatting>
        <x14:conditionalFormatting xmlns:xm="http://schemas.microsoft.com/office/excel/2006/main">
          <x14:cfRule type="expression" priority="5" id="{ABAB71E2-6002-4DEE-BCE4-36E13D46520C}">
            <xm:f>OR(C27=Konstante!W$151,C27=Konstante!W$152,C27=Konstante!W$153)</xm:f>
            <x14:dxf>
              <font>
                <color rgb="FFFF0000"/>
              </font>
            </x14:dxf>
          </x14:cfRule>
          <xm:sqref>C28:D28 C31:D31 C34:D34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3">
        <x14:dataValidation type="list" operator="greaterThan" showInputMessage="1" showErrorMessage="1" xr:uid="{00000000-0002-0000-1400-000009000000}">
          <x14:formula1>
            <xm:f>Konstante!$AR$147:$AR$148</xm:f>
          </x14:formula1>
          <xm:sqref>F43:G43</xm:sqref>
        </x14:dataValidation>
        <x14:dataValidation type="list" showInputMessage="1" showErrorMessage="1" xr:uid="{00000000-0002-0000-1400-00000A000000}">
          <x14:formula1>
            <xm:f>Konstante!$W$142:$W$153</xm:f>
          </x14:formula1>
          <xm:sqref>C27 C30 C33</xm:sqref>
        </x14:dataValidation>
        <x14:dataValidation type="list" operator="greaterThan" allowBlank="1" showInputMessage="1" showErrorMessage="1" xr:uid="{00000000-0002-0000-1400-00000B000000}">
          <x14:formula1>
            <xm:f>Konstante!$C$142:$C$148</xm:f>
          </x14:formula1>
          <xm:sqref>H6</xm:sqref>
        </x14:dataValidation>
        <x14:dataValidation type="list" operator="greaterThan" showInputMessage="1" showErrorMessage="1" xr:uid="{00000000-0002-0000-1400-00000C000000}">
          <x14:formula1>
            <xm:f>Konstante!$F$142:$F$143</xm:f>
          </x14:formula1>
          <xm:sqref>G10:H10</xm:sqref>
        </x14:dataValidation>
        <x14:dataValidation type="list" showInputMessage="1" showErrorMessage="1" xr:uid="{00000000-0002-0000-1400-00000D000000}">
          <x14:formula1>
            <xm:f>Konstante!$F$148:$F$152</xm:f>
          </x14:formula1>
          <xm:sqref>C11:H11</xm:sqref>
        </x14:dataValidation>
        <x14:dataValidation type="list" showInputMessage="1" showErrorMessage="1" xr:uid="{00000000-0002-0000-1400-00000E000000}">
          <x14:formula1>
            <xm:f>Konstante!$I$142:$I$145</xm:f>
          </x14:formula1>
          <xm:sqref>G12:H12</xm:sqref>
        </x14:dataValidation>
        <x14:dataValidation type="list" operator="greaterThan" showInputMessage="1" showErrorMessage="1" xr:uid="{00000000-0002-0000-1400-000010000000}">
          <x14:formula1>
            <xm:f>Konstante!$AG$142:$AG$144</xm:f>
          </x14:formula1>
          <xm:sqref>E24:H25</xm:sqref>
        </x14:dataValidation>
        <x14:dataValidation type="list" operator="greaterThan" showInputMessage="1" showErrorMessage="1" xr:uid="{00000000-0002-0000-1400-000011000000}">
          <x14:formula1>
            <xm:f>Konstante!$AG$148:$AG$149</xm:f>
          </x14:formula1>
          <xm:sqref>F38:G38</xm:sqref>
        </x14:dataValidation>
        <x14:dataValidation type="list" operator="greaterThan" showInputMessage="1" showErrorMessage="1" xr:uid="{00000000-0002-0000-1400-000012000000}">
          <x14:formula1>
            <xm:f>Konstante!$AN$142:$AN$144</xm:f>
          </x14:formula1>
          <xm:sqref>F39:G39</xm:sqref>
        </x14:dataValidation>
        <x14:dataValidation type="list" operator="greaterThan" showInputMessage="1" showErrorMessage="1" xr:uid="{00000000-0002-0000-1400-000013000000}">
          <x14:formula1>
            <xm:f>Konstante!$AN$147:$AN$148</xm:f>
          </x14:formula1>
          <xm:sqref>F40:G40</xm:sqref>
        </x14:dataValidation>
        <x14:dataValidation type="list" operator="greaterThan" showInputMessage="1" showErrorMessage="1" xr:uid="{00000000-0002-0000-1400-000014000000}">
          <x14:formula1>
            <xm:f>Konstante!$AN$151:$AN$153</xm:f>
          </x14:formula1>
          <xm:sqref>F41:G41</xm:sqref>
        </x14:dataValidation>
        <x14:dataValidation type="list" operator="greaterThan" showInputMessage="1" showErrorMessage="1" xr:uid="{00000000-0002-0000-1400-000015000000}">
          <x14:formula1>
            <xm:f>Konstante!$AR$142:$AR$143</xm:f>
          </x14:formula1>
          <xm:sqref>F42:G42</xm:sqref>
        </x14:dataValidation>
        <x14:dataValidation type="list" operator="greaterThan" showInputMessage="1" showErrorMessage="1" xr:uid="{00000000-0002-0000-1400-000016000000}">
          <x14:formula1>
            <xm:f>Konstante!$O$149:$O$151</xm:f>
          </x14:formula1>
          <xm:sqref>F23</xm:sqref>
        </x14:dataValidation>
      </x14:dataValidations>
    </ext>
  </extLst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23"/>
  <dimension ref="A1:U95"/>
  <sheetViews>
    <sheetView zoomScaleNormal="100" workbookViewId="0">
      <selection activeCell="C27" sqref="C27"/>
    </sheetView>
  </sheetViews>
  <sheetFormatPr baseColWidth="10" defaultColWidth="11.453125" defaultRowHeight="14.5" x14ac:dyDescent="0.35"/>
  <cols>
    <col min="1" max="1" width="4" customWidth="1"/>
    <col min="2" max="2" width="4.7265625" customWidth="1"/>
    <col min="3" max="3" width="5.7265625" customWidth="1"/>
    <col min="4" max="4" width="35.7265625" customWidth="1"/>
    <col min="5" max="7" width="8.453125" customWidth="1"/>
    <col min="8" max="8" width="11.453125" customWidth="1"/>
    <col min="9" max="9" width="4.26953125" customWidth="1"/>
  </cols>
  <sheetData>
    <row r="1" spans="1:21" ht="15.75" customHeight="1" x14ac:dyDescent="0.35">
      <c r="A1" s="833" t="s">
        <v>35</v>
      </c>
      <c r="B1" s="45"/>
      <c r="C1" s="45"/>
      <c r="D1" s="45"/>
      <c r="E1" s="45"/>
      <c r="F1" s="45"/>
      <c r="G1" s="45"/>
      <c r="H1" s="45"/>
      <c r="I1" s="45"/>
      <c r="K1" s="93" t="s">
        <v>699</v>
      </c>
      <c r="L1" s="93"/>
      <c r="M1" s="93"/>
      <c r="N1" s="94">
        <f ca="1">CELL("ZEILE",B60)</f>
        <v>60</v>
      </c>
    </row>
    <row r="2" spans="1:21" ht="23.5" x14ac:dyDescent="0.35">
      <c r="A2" s="833"/>
      <c r="B2" s="46"/>
      <c r="C2" s="864" t="s">
        <v>100</v>
      </c>
      <c r="D2" s="865"/>
      <c r="E2" s="865"/>
      <c r="F2" s="865"/>
      <c r="G2" s="865"/>
      <c r="H2" s="866"/>
      <c r="I2" s="45"/>
      <c r="K2" s="175" t="s">
        <v>700</v>
      </c>
      <c r="L2" s="155"/>
      <c r="M2" s="155"/>
      <c r="N2" s="175">
        <f ca="1">CELL("ZEILE",G92)</f>
        <v>92</v>
      </c>
    </row>
    <row r="3" spans="1:21" ht="15.5" x14ac:dyDescent="0.35">
      <c r="A3" s="833"/>
      <c r="B3" s="330"/>
      <c r="C3" s="330"/>
      <c r="D3" s="330"/>
      <c r="E3" s="330"/>
      <c r="F3" s="330"/>
      <c r="G3" s="330"/>
      <c r="H3" s="330"/>
      <c r="I3" s="330"/>
      <c r="K3" s="175" t="s">
        <v>701</v>
      </c>
      <c r="L3" s="155"/>
      <c r="M3" s="155"/>
      <c r="N3" s="175">
        <f>E52</f>
        <v>0</v>
      </c>
    </row>
    <row r="4" spans="1:21" ht="16" thickBot="1" x14ac:dyDescent="0.4">
      <c r="A4" s="833"/>
      <c r="B4" s="330"/>
      <c r="C4" s="330" t="s">
        <v>600</v>
      </c>
      <c r="D4" s="330"/>
      <c r="E4" s="330"/>
      <c r="F4" s="330"/>
      <c r="G4" s="330" t="s">
        <v>599</v>
      </c>
      <c r="H4" s="330" t="s">
        <v>601</v>
      </c>
      <c r="I4" s="330"/>
    </row>
    <row r="5" spans="1:21" s="234" customFormat="1" ht="15" customHeight="1" thickBot="1" x14ac:dyDescent="0.35">
      <c r="A5" s="833"/>
      <c r="B5" s="242"/>
      <c r="C5" s="546" t="str">
        <f>'6.2'!C8:F8</f>
        <v>Messgehilfe</v>
      </c>
      <c r="D5" s="547"/>
      <c r="E5" s="547"/>
      <c r="F5" s="548"/>
      <c r="G5" s="429" t="str">
        <f>'6.2'!G8</f>
        <v>Geh.</v>
      </c>
      <c r="H5" s="431">
        <f>'6.2'!H8</f>
        <v>0</v>
      </c>
      <c r="I5" s="432"/>
    </row>
    <row r="6" spans="1:21" s="234" customFormat="1" ht="15" customHeight="1" thickBot="1" x14ac:dyDescent="0.4">
      <c r="A6" s="833"/>
      <c r="B6" s="242"/>
      <c r="C6" s="546" t="str">
        <f>'6.2'!C9:F9</f>
        <v>Schreibkraft</v>
      </c>
      <c r="D6" s="547"/>
      <c r="E6" s="547"/>
      <c r="F6" s="548"/>
      <c r="G6" s="429" t="str">
        <f>'6.2'!G9</f>
        <v>Sek.</v>
      </c>
      <c r="H6" s="431">
        <f>'6.2'!H9</f>
        <v>0</v>
      </c>
      <c r="I6" s="432"/>
      <c r="M6"/>
      <c r="N6"/>
      <c r="O6"/>
      <c r="P6"/>
    </row>
    <row r="7" spans="1:21" s="234" customFormat="1" ht="15" customHeight="1" thickBot="1" x14ac:dyDescent="0.4">
      <c r="A7" s="833"/>
      <c r="B7" s="242"/>
      <c r="C7" s="546" t="str">
        <f>'6.2'!C10:F10</f>
        <v>Techniker</v>
      </c>
      <c r="D7" s="547"/>
      <c r="E7" s="547"/>
      <c r="F7" s="548"/>
      <c r="G7" s="429" t="str">
        <f>'6.2'!G10</f>
        <v>Tech.</v>
      </c>
      <c r="H7" s="431">
        <f>'6.2'!H10</f>
        <v>0</v>
      </c>
      <c r="I7" s="432"/>
      <c r="M7"/>
      <c r="N7"/>
      <c r="O7"/>
      <c r="P7"/>
      <c r="R7" s="433"/>
      <c r="S7" s="433"/>
      <c r="T7" s="433"/>
      <c r="U7" s="433"/>
    </row>
    <row r="8" spans="1:21" s="234" customFormat="1" ht="15" customHeight="1" thickBot="1" x14ac:dyDescent="0.35">
      <c r="A8" s="833"/>
      <c r="B8" s="242"/>
      <c r="C8" s="546" t="str">
        <f>'6.2'!C11:F11</f>
        <v>Nachtzuschlag Techniker</v>
      </c>
      <c r="D8" s="547"/>
      <c r="E8" s="547"/>
      <c r="F8" s="548"/>
      <c r="G8" s="429" t="str">
        <f>'6.2'!G11</f>
        <v>NZ-Techn.</v>
      </c>
      <c r="H8" s="431">
        <f>'6.2'!H11</f>
        <v>0</v>
      </c>
      <c r="I8" s="432"/>
      <c r="R8" s="433"/>
      <c r="S8" s="433"/>
      <c r="T8" s="433"/>
      <c r="U8" s="433"/>
    </row>
    <row r="9" spans="1:21" s="234" customFormat="1" ht="15" customHeight="1" thickBot="1" x14ac:dyDescent="0.35">
      <c r="A9" s="833"/>
      <c r="B9" s="336"/>
      <c r="C9" s="546" t="str">
        <f>'6.2'!C12:F12</f>
        <v>CAD-Auswertestunde</v>
      </c>
      <c r="D9" s="547"/>
      <c r="E9" s="547"/>
      <c r="F9" s="548"/>
      <c r="G9" s="429" t="str">
        <f>'6.2'!G12</f>
        <v>CAD</v>
      </c>
      <c r="H9" s="431">
        <f>'6.2'!H12</f>
        <v>0</v>
      </c>
      <c r="I9" s="336"/>
      <c r="R9" s="433"/>
      <c r="S9" s="433"/>
      <c r="T9" s="433"/>
      <c r="U9" s="433"/>
    </row>
    <row r="10" spans="1:21" s="234" customFormat="1" ht="15" customHeight="1" thickBot="1" x14ac:dyDescent="0.35">
      <c r="A10" s="833"/>
      <c r="B10" s="336"/>
      <c r="C10" s="546" t="str">
        <f>'6.2'!C13:F13</f>
        <v>Ingenieur</v>
      </c>
      <c r="D10" s="547"/>
      <c r="E10" s="547"/>
      <c r="F10" s="548"/>
      <c r="G10" s="429" t="str">
        <f>'6.2'!G13</f>
        <v>Ing.</v>
      </c>
      <c r="H10" s="431">
        <f>'6.2'!H13</f>
        <v>0</v>
      </c>
      <c r="I10" s="336"/>
      <c r="O10" s="433"/>
      <c r="P10" s="433"/>
      <c r="R10" s="433"/>
      <c r="S10" s="433"/>
      <c r="T10" s="433"/>
      <c r="U10" s="433"/>
    </row>
    <row r="11" spans="1:21" s="234" customFormat="1" ht="15" customHeight="1" thickBot="1" x14ac:dyDescent="0.4">
      <c r="A11" s="833"/>
      <c r="B11" s="336"/>
      <c r="C11" s="546" t="str">
        <f>'6.2'!C14:F14</f>
        <v>Nachtzuschlag Ingenieur</v>
      </c>
      <c r="D11" s="547"/>
      <c r="E11" s="547"/>
      <c r="F11" s="548"/>
      <c r="G11" s="429" t="str">
        <f>'6.2'!G14</f>
        <v>NZ-Ing.</v>
      </c>
      <c r="H11" s="431">
        <f>'6.2'!H14</f>
        <v>0</v>
      </c>
      <c r="I11" s="336"/>
      <c r="K11" s="288"/>
      <c r="L11"/>
      <c r="O11" s="433"/>
      <c r="P11" s="433"/>
      <c r="R11" s="433"/>
      <c r="S11" s="433"/>
      <c r="T11" s="433"/>
      <c r="U11" s="433"/>
    </row>
    <row r="12" spans="1:21" s="234" customFormat="1" ht="15" customHeight="1" thickBot="1" x14ac:dyDescent="0.4">
      <c r="A12" s="833"/>
      <c r="B12" s="336"/>
      <c r="C12" s="546" t="str">
        <f>'6.2'!C15:F15</f>
        <v>qualifizierter Ingenieur</v>
      </c>
      <c r="D12" s="547"/>
      <c r="E12" s="547"/>
      <c r="F12" s="548"/>
      <c r="G12" s="429" t="str">
        <f>'6.2'!G15</f>
        <v>qu.Ing.</v>
      </c>
      <c r="H12" s="431">
        <f>'6.2'!H15</f>
        <v>0</v>
      </c>
      <c r="I12" s="336"/>
      <c r="K12"/>
      <c r="L12"/>
      <c r="O12" s="433"/>
      <c r="P12" s="433"/>
      <c r="R12" s="433"/>
      <c r="S12" s="433"/>
      <c r="T12" s="433"/>
      <c r="U12" s="433"/>
    </row>
    <row r="13" spans="1:21" s="234" customFormat="1" ht="15" customHeight="1" thickBot="1" x14ac:dyDescent="0.4">
      <c r="A13" s="833"/>
      <c r="B13" s="336"/>
      <c r="C13" s="546" t="str">
        <f>'6.2'!C16:F16</f>
        <v>Ziviltechnikerleistung</v>
      </c>
      <c r="D13" s="547"/>
      <c r="E13" s="547"/>
      <c r="F13" s="548"/>
      <c r="G13" s="429" t="str">
        <f>'6.2'!G16</f>
        <v>ZT</v>
      </c>
      <c r="H13" s="431">
        <f>'6.2'!H16</f>
        <v>0</v>
      </c>
      <c r="I13" s="336"/>
      <c r="L13" s="471"/>
      <c r="O13" s="433"/>
      <c r="P13" s="433"/>
      <c r="R13" s="433"/>
      <c r="S13" s="433"/>
      <c r="T13" s="433"/>
      <c r="U13" s="433"/>
    </row>
    <row r="14" spans="1:21" s="234" customFormat="1" ht="15" customHeight="1" thickBot="1" x14ac:dyDescent="0.4">
      <c r="A14" s="833"/>
      <c r="B14" s="336"/>
      <c r="C14" s="546" t="str">
        <f>'6.2'!C17:F17</f>
        <v>1-Personen-Partie inkl. Gerät</v>
      </c>
      <c r="D14" s="547"/>
      <c r="E14" s="547"/>
      <c r="F14" s="548"/>
      <c r="G14" s="429" t="str">
        <f>'6.2'!G17</f>
        <v>1MP</v>
      </c>
      <c r="H14" s="431">
        <f>'6.2'!H17</f>
        <v>0</v>
      </c>
      <c r="I14" s="336"/>
      <c r="L14"/>
      <c r="O14" s="433"/>
      <c r="P14" s="433"/>
      <c r="Q14" s="433"/>
      <c r="R14" s="433"/>
      <c r="S14" s="433"/>
      <c r="T14" s="433"/>
      <c r="U14" s="433"/>
    </row>
    <row r="15" spans="1:21" s="234" customFormat="1" ht="15" customHeight="1" thickBot="1" x14ac:dyDescent="0.35">
      <c r="A15" s="833"/>
      <c r="B15" s="336"/>
      <c r="C15" s="546" t="str">
        <f>'6.2'!C18:F18</f>
        <v>2-Personen-Partie inkl. Gerät</v>
      </c>
      <c r="D15" s="547"/>
      <c r="E15" s="547"/>
      <c r="F15" s="548"/>
      <c r="G15" s="429" t="str">
        <f>'6.2'!G18</f>
        <v>2MP</v>
      </c>
      <c r="H15" s="431">
        <f>'6.2'!H18</f>
        <v>0</v>
      </c>
      <c r="I15" s="336"/>
      <c r="L15" s="434"/>
      <c r="O15" s="433"/>
      <c r="P15" s="433"/>
      <c r="Q15" s="433"/>
      <c r="R15" s="433"/>
      <c r="S15" s="433"/>
      <c r="T15" s="433"/>
      <c r="U15" s="433"/>
    </row>
    <row r="16" spans="1:21" s="234" customFormat="1" ht="15" customHeight="1" thickBot="1" x14ac:dyDescent="0.4">
      <c r="A16" s="833"/>
      <c r="B16" s="336"/>
      <c r="C16" s="546" t="str">
        <f>'6.2'!C19:F19</f>
        <v>Nachtzuschlag 1-Personen-Partie</v>
      </c>
      <c r="D16" s="547"/>
      <c r="E16" s="547"/>
      <c r="F16" s="548"/>
      <c r="G16" s="429" t="str">
        <f>'6.2'!G19</f>
        <v>NZ-1MP</v>
      </c>
      <c r="H16" s="431">
        <f>'6.2'!H19</f>
        <v>0</v>
      </c>
      <c r="I16" s="336"/>
      <c r="K16" s="288"/>
      <c r="L16" s="434"/>
      <c r="M16" s="433"/>
      <c r="N16" s="433"/>
      <c r="O16" s="433"/>
      <c r="P16" s="433"/>
      <c r="Q16" s="433"/>
      <c r="R16" s="433"/>
      <c r="S16" s="433"/>
      <c r="T16" s="433"/>
      <c r="U16" s="433"/>
    </row>
    <row r="17" spans="1:21" s="234" customFormat="1" ht="15" customHeight="1" thickBot="1" x14ac:dyDescent="0.4">
      <c r="A17" s="833"/>
      <c r="B17" s="336"/>
      <c r="C17" s="546" t="str">
        <f>'6.2'!C20:F20</f>
        <v>Nachtzuschlag 2-Personen-Partie</v>
      </c>
      <c r="D17" s="547"/>
      <c r="E17" s="547"/>
      <c r="F17" s="548"/>
      <c r="G17" s="429" t="str">
        <f>'6.2'!G20</f>
        <v>NZ-2MP</v>
      </c>
      <c r="H17" s="431">
        <f>'6.2'!H20</f>
        <v>0</v>
      </c>
      <c r="I17" s="336"/>
      <c r="L17"/>
      <c r="O17" s="433"/>
      <c r="P17" s="433"/>
      <c r="Q17" s="433"/>
      <c r="R17" s="433"/>
      <c r="S17" s="433"/>
      <c r="T17" s="433"/>
      <c r="U17" s="433"/>
    </row>
    <row r="18" spans="1:21" s="234" customFormat="1" ht="15" customHeight="1" thickBot="1" x14ac:dyDescent="0.4">
      <c r="A18" s="833"/>
      <c r="B18" s="336"/>
      <c r="C18" s="546" t="str">
        <f>'6.2'!C21:F21</f>
        <v>Einsatzpauschale (20km An/Abfahrt) - 1MP</v>
      </c>
      <c r="D18" s="547"/>
      <c r="E18" s="547"/>
      <c r="F18" s="548"/>
      <c r="G18" s="429" t="str">
        <f>'6.2'!G21</f>
        <v>Eins-1MP</v>
      </c>
      <c r="H18" s="431">
        <f>'6.2'!H21</f>
        <v>13</v>
      </c>
      <c r="I18" s="336"/>
      <c r="L18"/>
      <c r="M18" s="433"/>
      <c r="N18" s="433"/>
      <c r="O18" s="433"/>
      <c r="P18" s="433"/>
      <c r="Q18" s="433"/>
      <c r="R18" s="433"/>
      <c r="S18" s="433"/>
      <c r="T18" s="433"/>
      <c r="U18" s="433"/>
    </row>
    <row r="19" spans="1:21" s="234" customFormat="1" ht="15" customHeight="1" thickBot="1" x14ac:dyDescent="0.4">
      <c r="A19" s="833"/>
      <c r="B19" s="336"/>
      <c r="C19" s="546" t="str">
        <f>'6.2'!C22:F22</f>
        <v>Einsatzpauschale (20km An/Abfahrt) - 2MP</v>
      </c>
      <c r="D19" s="547"/>
      <c r="E19" s="547"/>
      <c r="F19" s="548"/>
      <c r="G19" s="429" t="str">
        <f>'6.2'!G22</f>
        <v>Eins-2MP</v>
      </c>
      <c r="H19" s="431">
        <f>'6.2'!H22</f>
        <v>13</v>
      </c>
      <c r="I19" s="336"/>
      <c r="L19"/>
      <c r="M19"/>
      <c r="N19" s="433"/>
      <c r="O19" s="433"/>
      <c r="P19" s="433"/>
      <c r="Q19" s="433"/>
      <c r="R19" s="433"/>
      <c r="S19" s="433"/>
      <c r="T19" s="433"/>
      <c r="U19" s="433"/>
    </row>
    <row r="20" spans="1:21" s="234" customFormat="1" ht="15" customHeight="1" thickBot="1" x14ac:dyDescent="0.4">
      <c r="A20" s="833"/>
      <c r="B20" s="336"/>
      <c r="C20" s="546" t="str">
        <f>'6.2'!C23:F23</f>
        <v>Instrument (Messgerät) oder CAD-Ausrüstung</v>
      </c>
      <c r="D20" s="547"/>
      <c r="E20" s="547"/>
      <c r="F20" s="548"/>
      <c r="G20" s="429" t="str">
        <f>'6.2'!G23</f>
        <v>Instr/CAD</v>
      </c>
      <c r="H20" s="431">
        <f>'6.2'!H23</f>
        <v>0</v>
      </c>
      <c r="I20" s="336"/>
      <c r="L20"/>
      <c r="M20"/>
      <c r="N20" s="433"/>
      <c r="O20" s="433"/>
      <c r="P20" s="433"/>
      <c r="Q20" s="433"/>
      <c r="R20" s="433"/>
      <c r="S20" s="433"/>
      <c r="T20" s="433"/>
      <c r="U20" s="433"/>
    </row>
    <row r="21" spans="1:21" s="234" customFormat="1" ht="15" customHeight="1" thickBot="1" x14ac:dyDescent="0.4">
      <c r="A21" s="833"/>
      <c r="B21" s="336"/>
      <c r="C21" s="546" t="str">
        <f>'6.2'!C24:F24</f>
        <v>Aufschlag für höherwertiges Instrument</v>
      </c>
      <c r="D21" s="547"/>
      <c r="E21" s="547"/>
      <c r="F21" s="548"/>
      <c r="G21" s="429" t="str">
        <f>'6.2'!G24</f>
        <v>Instr+</v>
      </c>
      <c r="H21" s="431">
        <f>'6.2'!H24</f>
        <v>0</v>
      </c>
      <c r="I21" s="336"/>
      <c r="L21"/>
      <c r="M21"/>
      <c r="N21" s="433"/>
      <c r="O21" s="433"/>
      <c r="P21" s="433"/>
      <c r="Q21" s="433"/>
      <c r="R21" s="433"/>
      <c r="S21" s="433"/>
      <c r="T21" s="433"/>
      <c r="U21" s="433"/>
    </row>
    <row r="22" spans="1:21" s="234" customFormat="1" ht="15" customHeight="1" thickBot="1" x14ac:dyDescent="0.4">
      <c r="A22" s="833"/>
      <c r="B22" s="336"/>
      <c r="C22" s="546" t="str">
        <f>'6.2'!C25:F25</f>
        <v>Fahrtkosten Auto</v>
      </c>
      <c r="D22" s="547"/>
      <c r="E22" s="547"/>
      <c r="F22" s="548"/>
      <c r="G22" s="429" t="str">
        <f>'6.2'!G25</f>
        <v>km-Auto</v>
      </c>
      <c r="H22" s="431">
        <f>'6.2'!H25</f>
        <v>0.5</v>
      </c>
      <c r="I22" s="336"/>
      <c r="L22"/>
      <c r="M22"/>
      <c r="N22" s="433"/>
      <c r="O22" s="433"/>
      <c r="P22" s="433"/>
      <c r="Q22" s="433"/>
      <c r="R22" s="433"/>
      <c r="S22" s="433"/>
      <c r="T22" s="433"/>
      <c r="U22" s="433"/>
    </row>
    <row r="23" spans="1:21" s="234" customFormat="1" ht="15" customHeight="1" thickBot="1" x14ac:dyDescent="0.4">
      <c r="A23" s="833"/>
      <c r="B23" s="336"/>
      <c r="C23" s="546" t="str">
        <f>'6.2'!C26:F26</f>
        <v>Fahrtkosten Messfahrzeug inkl. Instrumentenausstattung</v>
      </c>
      <c r="D23" s="547"/>
      <c r="E23" s="547"/>
      <c r="F23" s="548"/>
      <c r="G23" s="429" t="str">
        <f>'6.2'!G26</f>
        <v>km-Bus</v>
      </c>
      <c r="H23" s="431">
        <f>'6.2'!H26</f>
        <v>0.65</v>
      </c>
      <c r="I23" s="336"/>
      <c r="L23"/>
      <c r="M23"/>
      <c r="N23" s="433"/>
      <c r="O23" s="433"/>
      <c r="P23" s="433"/>
      <c r="Q23" s="433"/>
      <c r="R23" s="433"/>
      <c r="S23" s="433"/>
      <c r="T23" s="433"/>
      <c r="U23" s="433"/>
    </row>
    <row r="24" spans="1:21" s="234" customFormat="1" ht="15" customHeight="1" thickBot="1" x14ac:dyDescent="0.4">
      <c r="A24" s="833"/>
      <c r="B24" s="336"/>
      <c r="C24" s="546" t="str">
        <f>'6.2'!C27:F27</f>
        <v>Barauslagen</v>
      </c>
      <c r="D24" s="547"/>
      <c r="E24" s="547"/>
      <c r="F24" s="548"/>
      <c r="G24" s="429" t="str">
        <f>'6.2'!G27</f>
        <v>Bar</v>
      </c>
      <c r="H24" s="431">
        <f>'6.2'!H27</f>
        <v>1</v>
      </c>
      <c r="I24" s="336"/>
      <c r="L24"/>
      <c r="M24"/>
      <c r="N24" s="433"/>
      <c r="O24" s="433"/>
      <c r="P24" s="433"/>
      <c r="Q24" s="433"/>
      <c r="R24" s="433"/>
      <c r="S24" s="433"/>
      <c r="T24" s="433"/>
      <c r="U24" s="433"/>
    </row>
    <row r="25" spans="1:21" s="234" customFormat="1" ht="15" customHeight="1" x14ac:dyDescent="0.35">
      <c r="A25" s="833"/>
      <c r="B25" s="336"/>
      <c r="C25" s="336"/>
      <c r="D25" s="336"/>
      <c r="E25" s="336"/>
      <c r="F25" s="336"/>
      <c r="G25" s="336"/>
      <c r="H25" s="336"/>
      <c r="I25" s="336"/>
      <c r="K25" s="288"/>
      <c r="L25"/>
      <c r="M25"/>
      <c r="N25" s="433"/>
      <c r="O25" s="433"/>
      <c r="P25" s="433"/>
      <c r="Q25" s="433"/>
      <c r="R25" s="433"/>
      <c r="S25" s="433"/>
      <c r="T25" s="433"/>
      <c r="U25" s="433"/>
    </row>
    <row r="26" spans="1:21" s="234" customFormat="1" ht="15" customHeight="1" thickBot="1" x14ac:dyDescent="0.4">
      <c r="A26" s="833"/>
      <c r="B26" s="336"/>
      <c r="C26" s="336" t="s">
        <v>618</v>
      </c>
      <c r="D26" s="336" t="s">
        <v>619</v>
      </c>
      <c r="E26" s="437" t="s">
        <v>617</v>
      </c>
      <c r="F26" s="437" t="s">
        <v>620</v>
      </c>
      <c r="G26" s="437" t="s">
        <v>601</v>
      </c>
      <c r="H26" s="437" t="s">
        <v>616</v>
      </c>
      <c r="I26" s="336"/>
      <c r="K26" s="433"/>
      <c r="L26"/>
      <c r="M26"/>
      <c r="N26" s="433"/>
      <c r="O26" s="433"/>
      <c r="P26" s="433"/>
    </row>
    <row r="27" spans="1:21" ht="16" thickBot="1" x14ac:dyDescent="0.4">
      <c r="A27" s="833"/>
      <c r="B27" s="63"/>
      <c r="C27" s="445"/>
      <c r="D27" s="449"/>
      <c r="E27" s="430"/>
      <c r="F27" s="430"/>
      <c r="G27" s="448" t="str">
        <f>IF(E27&lt;&gt;"",VLOOKUP(E27,G$5:H$18,2,FALSE),"")</f>
        <v/>
      </c>
      <c r="H27" s="448" t="str">
        <f t="shared" ref="H27:H46" si="0">IF(AND(E27&lt;&gt;"",F27&lt;&gt;"",F27&gt;0),F27*G27,"")</f>
        <v/>
      </c>
      <c r="I27" s="64"/>
      <c r="K27" s="254"/>
      <c r="L27" s="254"/>
      <c r="N27" s="254"/>
      <c r="O27" s="254"/>
      <c r="P27" s="254"/>
    </row>
    <row r="28" spans="1:21" ht="16" thickBot="1" x14ac:dyDescent="0.4">
      <c r="A28" s="833"/>
      <c r="B28" s="330"/>
      <c r="C28" s="445"/>
      <c r="D28" s="449"/>
      <c r="E28" s="430"/>
      <c r="F28" s="430"/>
      <c r="G28" s="448" t="str">
        <f t="shared" ref="G28:G46" si="1">IF(E28&lt;&gt;"",VLOOKUP(E28,G$5:H$18,2,FALSE),"")</f>
        <v/>
      </c>
      <c r="H28" s="448" t="str">
        <f t="shared" si="0"/>
        <v/>
      </c>
      <c r="I28" s="330"/>
      <c r="K28" s="254"/>
      <c r="L28" s="254"/>
      <c r="N28" s="254"/>
      <c r="O28" s="254"/>
      <c r="P28" s="254"/>
    </row>
    <row r="29" spans="1:21" ht="16" thickBot="1" x14ac:dyDescent="0.4">
      <c r="A29" s="833"/>
      <c r="B29" s="330"/>
      <c r="C29" s="445"/>
      <c r="D29" s="449"/>
      <c r="E29" s="430"/>
      <c r="F29" s="430"/>
      <c r="G29" s="448" t="str">
        <f t="shared" si="1"/>
        <v/>
      </c>
      <c r="H29" s="448" t="str">
        <f t="shared" si="0"/>
        <v/>
      </c>
      <c r="I29" s="330"/>
      <c r="K29" s="254"/>
      <c r="L29" s="254"/>
      <c r="M29" s="332"/>
      <c r="N29" s="254"/>
      <c r="O29" s="254"/>
      <c r="P29" s="254"/>
    </row>
    <row r="30" spans="1:21" ht="16" thickBot="1" x14ac:dyDescent="0.4">
      <c r="A30" s="833"/>
      <c r="B30" s="330"/>
      <c r="C30" s="445"/>
      <c r="D30" s="449"/>
      <c r="E30" s="430"/>
      <c r="F30" s="430"/>
      <c r="G30" s="448" t="str">
        <f t="shared" si="1"/>
        <v/>
      </c>
      <c r="H30" s="448" t="str">
        <f t="shared" si="0"/>
        <v/>
      </c>
      <c r="I30" s="330"/>
      <c r="K30" s="254"/>
      <c r="L30" s="472"/>
      <c r="M30" s="332"/>
      <c r="N30" s="254"/>
      <c r="O30" s="254"/>
      <c r="P30" s="254"/>
    </row>
    <row r="31" spans="1:21" ht="16" thickBot="1" x14ac:dyDescent="0.4">
      <c r="A31" s="833"/>
      <c r="B31" s="330"/>
      <c r="C31" s="445"/>
      <c r="D31" s="449"/>
      <c r="E31" s="430"/>
      <c r="F31" s="430"/>
      <c r="G31" s="448" t="str">
        <f t="shared" si="1"/>
        <v/>
      </c>
      <c r="H31" s="448" t="str">
        <f t="shared" si="0"/>
        <v/>
      </c>
      <c r="I31" s="330"/>
      <c r="K31" s="254"/>
      <c r="L31" s="254"/>
      <c r="M31" s="332"/>
      <c r="N31" s="254"/>
      <c r="O31" s="254"/>
      <c r="P31" s="254"/>
    </row>
    <row r="32" spans="1:21" ht="16" thickBot="1" x14ac:dyDescent="0.4">
      <c r="A32" s="833"/>
      <c r="B32" s="330"/>
      <c r="C32" s="445"/>
      <c r="D32" s="449"/>
      <c r="E32" s="430"/>
      <c r="F32" s="430"/>
      <c r="G32" s="448" t="str">
        <f t="shared" si="1"/>
        <v/>
      </c>
      <c r="H32" s="448" t="str">
        <f t="shared" si="0"/>
        <v/>
      </c>
      <c r="I32" s="330"/>
      <c r="K32" s="254"/>
      <c r="L32" s="254"/>
      <c r="M32" s="332"/>
      <c r="N32" s="254"/>
      <c r="O32" s="254"/>
      <c r="P32" s="254"/>
    </row>
    <row r="33" spans="1:16" ht="16" thickBot="1" x14ac:dyDescent="0.4">
      <c r="A33" s="833"/>
      <c r="B33" s="330"/>
      <c r="C33" s="445"/>
      <c r="D33" s="449"/>
      <c r="E33" s="430"/>
      <c r="F33" s="430"/>
      <c r="G33" s="448" t="str">
        <f t="shared" si="1"/>
        <v/>
      </c>
      <c r="H33" s="448" t="str">
        <f t="shared" si="0"/>
        <v/>
      </c>
      <c r="I33" s="330"/>
      <c r="K33" s="254"/>
      <c r="L33" s="254"/>
      <c r="M33" s="332"/>
      <c r="N33" s="254"/>
      <c r="O33" s="254"/>
      <c r="P33" s="254"/>
    </row>
    <row r="34" spans="1:16" ht="16" thickBot="1" x14ac:dyDescent="0.4">
      <c r="A34" s="833"/>
      <c r="B34" s="330"/>
      <c r="C34" s="445"/>
      <c r="D34" s="449"/>
      <c r="E34" s="430"/>
      <c r="F34" s="430"/>
      <c r="G34" s="448" t="str">
        <f t="shared" si="1"/>
        <v/>
      </c>
      <c r="H34" s="448" t="str">
        <f t="shared" si="0"/>
        <v/>
      </c>
      <c r="I34" s="330"/>
      <c r="K34" s="254"/>
      <c r="L34" s="254"/>
      <c r="M34" s="332"/>
      <c r="N34" s="254"/>
      <c r="O34" s="254"/>
      <c r="P34" s="254"/>
    </row>
    <row r="35" spans="1:16" ht="16" thickBot="1" x14ac:dyDescent="0.4">
      <c r="A35" s="833"/>
      <c r="B35" s="330"/>
      <c r="C35" s="445"/>
      <c r="D35" s="449"/>
      <c r="E35" s="430"/>
      <c r="F35" s="430"/>
      <c r="G35" s="448" t="str">
        <f t="shared" si="1"/>
        <v/>
      </c>
      <c r="H35" s="448" t="str">
        <f t="shared" si="0"/>
        <v/>
      </c>
      <c r="I35" s="330"/>
      <c r="K35" s="254"/>
      <c r="L35" s="254"/>
      <c r="M35" s="332"/>
      <c r="N35" s="254"/>
      <c r="O35" s="254"/>
      <c r="P35" s="254"/>
    </row>
    <row r="36" spans="1:16" ht="16" thickBot="1" x14ac:dyDescent="0.4">
      <c r="A36" s="833"/>
      <c r="B36" s="330"/>
      <c r="C36" s="445"/>
      <c r="D36" s="449"/>
      <c r="E36" s="430"/>
      <c r="F36" s="430"/>
      <c r="G36" s="448" t="str">
        <f t="shared" si="1"/>
        <v/>
      </c>
      <c r="H36" s="448" t="str">
        <f t="shared" si="0"/>
        <v/>
      </c>
      <c r="I36" s="330"/>
      <c r="K36" s="254"/>
      <c r="L36" s="254"/>
      <c r="M36" s="332"/>
      <c r="N36" s="254"/>
      <c r="O36" s="254"/>
      <c r="P36" s="254"/>
    </row>
    <row r="37" spans="1:16" ht="16" thickBot="1" x14ac:dyDescent="0.4">
      <c r="A37" s="833"/>
      <c r="B37" s="330"/>
      <c r="C37" s="445"/>
      <c r="D37" s="449"/>
      <c r="E37" s="430"/>
      <c r="F37" s="430"/>
      <c r="G37" s="448" t="str">
        <f t="shared" si="1"/>
        <v/>
      </c>
      <c r="H37" s="448" t="str">
        <f t="shared" si="0"/>
        <v/>
      </c>
      <c r="I37" s="330"/>
      <c r="K37" s="254"/>
      <c r="L37" s="254"/>
      <c r="M37" s="332"/>
      <c r="N37" s="254"/>
      <c r="O37" s="254"/>
      <c r="P37" s="254"/>
    </row>
    <row r="38" spans="1:16" ht="16" thickBot="1" x14ac:dyDescent="0.4">
      <c r="A38" s="833"/>
      <c r="B38" s="330"/>
      <c r="C38" s="445"/>
      <c r="D38" s="449"/>
      <c r="E38" s="430"/>
      <c r="F38" s="430"/>
      <c r="G38" s="448" t="str">
        <f t="shared" si="1"/>
        <v/>
      </c>
      <c r="H38" s="448" t="str">
        <f t="shared" si="0"/>
        <v/>
      </c>
      <c r="I38" s="330"/>
      <c r="K38" s="254"/>
      <c r="L38" s="254"/>
      <c r="M38" s="332"/>
      <c r="N38" s="254"/>
      <c r="O38" s="254"/>
      <c r="P38" s="254"/>
    </row>
    <row r="39" spans="1:16" ht="16" thickBot="1" x14ac:dyDescent="0.4">
      <c r="A39" s="833"/>
      <c r="B39" s="330"/>
      <c r="C39" s="445"/>
      <c r="D39" s="449"/>
      <c r="E39" s="430"/>
      <c r="F39" s="430"/>
      <c r="G39" s="448" t="str">
        <f t="shared" si="1"/>
        <v/>
      </c>
      <c r="H39" s="448" t="str">
        <f t="shared" si="0"/>
        <v/>
      </c>
      <c r="I39" s="330"/>
      <c r="K39" s="254"/>
      <c r="L39" s="254"/>
      <c r="M39" s="332"/>
      <c r="N39" s="254"/>
      <c r="O39" s="254"/>
      <c r="P39" s="254"/>
    </row>
    <row r="40" spans="1:16" ht="16" thickBot="1" x14ac:dyDescent="0.4">
      <c r="A40" s="833"/>
      <c r="B40" s="330"/>
      <c r="C40" s="445"/>
      <c r="D40" s="449"/>
      <c r="E40" s="430"/>
      <c r="F40" s="430"/>
      <c r="G40" s="448" t="str">
        <f t="shared" si="1"/>
        <v/>
      </c>
      <c r="H40" s="448" t="str">
        <f t="shared" si="0"/>
        <v/>
      </c>
      <c r="I40" s="330"/>
      <c r="K40" s="254"/>
      <c r="L40" s="254"/>
      <c r="M40" s="332"/>
      <c r="N40" s="254"/>
      <c r="O40" s="254"/>
      <c r="P40" s="254"/>
    </row>
    <row r="41" spans="1:16" ht="16" thickBot="1" x14ac:dyDescent="0.4">
      <c r="A41" s="833"/>
      <c r="B41" s="330"/>
      <c r="C41" s="445"/>
      <c r="D41" s="449"/>
      <c r="E41" s="430"/>
      <c r="F41" s="430"/>
      <c r="G41" s="448" t="str">
        <f t="shared" si="1"/>
        <v/>
      </c>
      <c r="H41" s="448" t="str">
        <f t="shared" si="0"/>
        <v/>
      </c>
      <c r="I41" s="330"/>
      <c r="K41" s="254"/>
      <c r="L41" s="254"/>
      <c r="M41" s="332"/>
      <c r="N41" s="254"/>
      <c r="O41" s="254"/>
      <c r="P41" s="254"/>
    </row>
    <row r="42" spans="1:16" ht="16" thickBot="1" x14ac:dyDescent="0.4">
      <c r="A42" s="833"/>
      <c r="B42" s="330"/>
      <c r="C42" s="445"/>
      <c r="D42" s="449"/>
      <c r="E42" s="430"/>
      <c r="F42" s="430"/>
      <c r="G42" s="448" t="str">
        <f t="shared" si="1"/>
        <v/>
      </c>
      <c r="H42" s="448" t="str">
        <f t="shared" si="0"/>
        <v/>
      </c>
      <c r="I42" s="330"/>
      <c r="K42" s="254"/>
      <c r="L42" s="254"/>
      <c r="M42" s="332"/>
      <c r="N42" s="254"/>
      <c r="O42" s="254"/>
      <c r="P42" s="254"/>
    </row>
    <row r="43" spans="1:16" ht="16" thickBot="1" x14ac:dyDescent="0.4">
      <c r="A43" s="833"/>
      <c r="B43" s="330"/>
      <c r="C43" s="445"/>
      <c r="D43" s="449"/>
      <c r="E43" s="430"/>
      <c r="F43" s="430"/>
      <c r="G43" s="448" t="str">
        <f t="shared" si="1"/>
        <v/>
      </c>
      <c r="H43" s="448" t="str">
        <f t="shared" si="0"/>
        <v/>
      </c>
      <c r="I43" s="330"/>
      <c r="K43" s="254"/>
      <c r="L43" s="254"/>
      <c r="M43" s="332"/>
      <c r="N43" s="254"/>
      <c r="O43" s="254"/>
      <c r="P43" s="254"/>
    </row>
    <row r="44" spans="1:16" ht="16" thickBot="1" x14ac:dyDescent="0.4">
      <c r="A44" s="833"/>
      <c r="B44" s="330"/>
      <c r="C44" s="445"/>
      <c r="D44" s="449"/>
      <c r="E44" s="430"/>
      <c r="F44" s="430"/>
      <c r="G44" s="448" t="str">
        <f t="shared" si="1"/>
        <v/>
      </c>
      <c r="H44" s="448" t="str">
        <f t="shared" si="0"/>
        <v/>
      </c>
      <c r="I44" s="330"/>
      <c r="K44" s="254"/>
      <c r="L44" s="254"/>
      <c r="M44" s="332"/>
      <c r="N44" s="254"/>
      <c r="O44" s="254"/>
      <c r="P44" s="254"/>
    </row>
    <row r="45" spans="1:16" ht="16" thickBot="1" x14ac:dyDescent="0.4">
      <c r="A45" s="833"/>
      <c r="B45" s="330"/>
      <c r="C45" s="445"/>
      <c r="D45" s="449"/>
      <c r="E45" s="430"/>
      <c r="F45" s="430"/>
      <c r="G45" s="448" t="str">
        <f t="shared" si="1"/>
        <v/>
      </c>
      <c r="H45" s="448" t="str">
        <f t="shared" si="0"/>
        <v/>
      </c>
      <c r="I45" s="330"/>
      <c r="K45" s="254"/>
      <c r="L45" s="254"/>
      <c r="M45" s="332"/>
      <c r="N45" s="254"/>
      <c r="O45" s="254"/>
      <c r="P45" s="254"/>
    </row>
    <row r="46" spans="1:16" ht="16" thickBot="1" x14ac:dyDescent="0.4">
      <c r="A46" s="833"/>
      <c r="B46" s="330"/>
      <c r="C46" s="445"/>
      <c r="D46" s="449"/>
      <c r="E46" s="430"/>
      <c r="F46" s="430"/>
      <c r="G46" s="448" t="str">
        <f t="shared" si="1"/>
        <v/>
      </c>
      <c r="H46" s="448" t="str">
        <f t="shared" si="0"/>
        <v/>
      </c>
      <c r="I46" s="330"/>
      <c r="K46" s="254"/>
      <c r="L46" s="254"/>
      <c r="M46" s="332"/>
      <c r="N46" s="254"/>
      <c r="O46" s="254"/>
      <c r="P46" s="254"/>
    </row>
    <row r="47" spans="1:16" ht="16" thickBot="1" x14ac:dyDescent="0.4">
      <c r="A47" s="833"/>
      <c r="B47" s="330"/>
      <c r="C47" s="330"/>
      <c r="D47" s="330"/>
      <c r="E47" s="330"/>
      <c r="F47" s="330"/>
      <c r="G47" s="330"/>
      <c r="H47" s="450" t="str">
        <f>IF(VSK&lt;&gt;0, SUM(H27:H46),"")</f>
        <v/>
      </c>
      <c r="I47" s="330"/>
      <c r="K47" s="254"/>
      <c r="L47" s="254"/>
      <c r="M47" s="332"/>
      <c r="N47" s="254"/>
      <c r="O47" s="254"/>
      <c r="P47" s="254"/>
    </row>
    <row r="48" spans="1:16" ht="15.5" x14ac:dyDescent="0.35">
      <c r="A48" s="833"/>
      <c r="B48" s="46"/>
      <c r="C48" s="317"/>
      <c r="D48" s="318"/>
      <c r="E48" s="317"/>
      <c r="F48" s="592" t="s">
        <v>633</v>
      </c>
      <c r="G48" s="317"/>
      <c r="H48" s="319"/>
      <c r="I48" s="47"/>
      <c r="K48" s="254"/>
      <c r="L48" s="254"/>
      <c r="M48" s="332"/>
      <c r="N48" s="254"/>
      <c r="O48" s="254"/>
      <c r="P48" s="254"/>
    </row>
    <row r="49" spans="1:16" ht="15.5" x14ac:dyDescent="0.35">
      <c r="A49" s="833"/>
      <c r="B49" s="46"/>
      <c r="C49" s="47" t="s">
        <v>34</v>
      </c>
      <c r="D49" s="47"/>
      <c r="E49" s="320"/>
      <c r="F49" s="899"/>
      <c r="G49" s="900"/>
      <c r="H49" s="901"/>
      <c r="I49" s="47"/>
      <c r="K49" s="254"/>
      <c r="L49" s="254"/>
      <c r="M49" s="254"/>
      <c r="N49" s="254"/>
      <c r="O49" s="254"/>
      <c r="P49" s="254"/>
    </row>
    <row r="50" spans="1:16" ht="15.5" x14ac:dyDescent="0.35">
      <c r="A50" s="833"/>
      <c r="B50" s="46"/>
      <c r="C50" s="47" t="s">
        <v>722</v>
      </c>
      <c r="D50" s="47"/>
      <c r="E50" s="480"/>
      <c r="F50" s="868"/>
      <c r="G50" s="895"/>
      <c r="H50" s="869"/>
      <c r="I50" s="47"/>
    </row>
    <row r="51" spans="1:16" ht="15.5" x14ac:dyDescent="0.35">
      <c r="A51" s="833"/>
      <c r="B51" s="46"/>
      <c r="C51" s="47"/>
      <c r="D51" s="47"/>
      <c r="E51" s="53"/>
      <c r="F51" s="47"/>
      <c r="G51" s="46"/>
      <c r="H51" s="46"/>
      <c r="I51" s="45"/>
    </row>
    <row r="52" spans="1:16" ht="21" x14ac:dyDescent="0.5">
      <c r="A52" s="833"/>
      <c r="B52" s="45"/>
      <c r="C52" s="54" t="str">
        <f>IF(VSK=0, "UNVOLLSTÄNDIG AUSGEFÜLLT!","")</f>
        <v>UNVOLLSTÄNDIG AUSGEFÜLLT!</v>
      </c>
      <c r="D52" s="45"/>
      <c r="E52" s="438">
        <f>IF(SUM(H27:H46)&gt;0,1,0)</f>
        <v>0</v>
      </c>
      <c r="F52" s="45"/>
      <c r="G52" s="852" t="str">
        <f>IF(VSK&lt;&gt;0, G92,"")</f>
        <v/>
      </c>
      <c r="H52" s="852"/>
      <c r="I52" s="45"/>
      <c r="P52" s="254"/>
    </row>
    <row r="53" spans="1:16" ht="15.5" x14ac:dyDescent="0.35">
      <c r="A53" s="833"/>
      <c r="B53" s="45"/>
      <c r="C53" s="45"/>
      <c r="D53" s="45"/>
      <c r="E53" s="45"/>
      <c r="F53" s="45"/>
      <c r="G53" s="45"/>
      <c r="H53" s="45"/>
      <c r="I53" s="45"/>
    </row>
    <row r="54" spans="1:16" ht="15" customHeight="1" x14ac:dyDescent="0.35">
      <c r="A54" s="830" t="s">
        <v>66</v>
      </c>
      <c r="I54" s="577" t="str">
        <f ca="1">IF(VLOOKUP(B60,CHOOSE({5,4,3,2,1},Gesamt!L32:L65,Gesamt!M32:M65,Gesamt!N32:N65,Gesamt!O32:O65,Gesamt!P32:P65,),4,0)&gt;0,CONCATENATE("Pos. ",VLOOKUP(B60,CHOOSE({5,4,3,2,1},Gesamt!L32:L65,Gesamt!M32:M65,Gesamt!N32:N65,Gesamt!O32:O65,Gesamt!P32:P65,),VLOOKUP(Gesamt!C19,Gesamt!L5:N7,3,0),0)),"")</f>
        <v/>
      </c>
    </row>
    <row r="55" spans="1:16" x14ac:dyDescent="0.35">
      <c r="A55" s="830"/>
      <c r="B55" s="831" t="str">
        <f>CONCATENATE(Gesamt!C2, ": ", Gesamt!E2)</f>
        <v xml:space="preserve">Projekt: </v>
      </c>
      <c r="C55" s="831"/>
      <c r="D55" s="831"/>
      <c r="E55" s="831"/>
      <c r="F55" s="831"/>
      <c r="G55" s="831"/>
      <c r="H55" s="831"/>
      <c r="I55" s="831"/>
    </row>
    <row r="56" spans="1:16" x14ac:dyDescent="0.35">
      <c r="A56" s="830"/>
      <c r="B56" s="832" t="str">
        <f>CONCATENATE(Gesamt!C4, ": ", Gesamt!E4, IF(Gesamt!E5&lt;&gt;""," - ",""), IF(Gesamt!E5&lt;&gt;"",Gesamt!E5,""), IF(Gesamt!E6&lt;&gt;""," - GZ. ",""), IF(Gesamt!E6&lt;&gt;"",Gesamt!E6,""),)</f>
        <v xml:space="preserve">Auftraggeber: </v>
      </c>
      <c r="C56" s="832"/>
      <c r="D56" s="832"/>
      <c r="E56" s="832"/>
      <c r="F56" s="832"/>
      <c r="G56" s="832"/>
      <c r="H56" s="832"/>
      <c r="I56" s="832"/>
    </row>
    <row r="57" spans="1:16" x14ac:dyDescent="0.35">
      <c r="A57" s="830"/>
      <c r="B57" s="832" t="str">
        <f>CONCATENATE(Gesamt!C9, ": ",Gesamt!E9,  IF(Gesamt!C10&lt;&gt;""," - ",""), IF(Gesamt!C10&lt;&gt;"",Gesamt!E10,""), IF(Gesamt!C11&lt;&gt;""," - GZ. ",""), IF(Gesamt!C11&lt;&gt;"",Gesamt!E11,""), )</f>
        <v xml:space="preserve">Bieter:  -  - GZ. </v>
      </c>
      <c r="C57" s="832"/>
      <c r="D57" s="832"/>
      <c r="E57" s="832"/>
      <c r="F57" s="832"/>
      <c r="G57" s="832"/>
      <c r="H57" s="832"/>
      <c r="I57" s="832"/>
    </row>
    <row r="58" spans="1:16" x14ac:dyDescent="0.35">
      <c r="A58" s="830"/>
      <c r="B58" s="832" t="s">
        <v>41</v>
      </c>
      <c r="C58" s="832"/>
      <c r="D58" s="832"/>
      <c r="E58" s="832"/>
      <c r="F58" s="832"/>
      <c r="G58" s="832"/>
      <c r="H58" s="832"/>
      <c r="I58" s="832"/>
    </row>
    <row r="59" spans="1:16" x14ac:dyDescent="0.35">
      <c r="A59" s="830"/>
    </row>
    <row r="60" spans="1:16" ht="18.5" x14ac:dyDescent="0.35">
      <c r="A60" s="830"/>
      <c r="B60" s="843" t="str">
        <f>C2</f>
        <v>Laserscanning</v>
      </c>
      <c r="C60" s="843"/>
      <c r="D60" s="843"/>
      <c r="E60" s="843"/>
      <c r="F60" s="843"/>
      <c r="G60" s="843"/>
      <c r="H60" s="843"/>
      <c r="I60" s="843"/>
    </row>
    <row r="61" spans="1:16" x14ac:dyDescent="0.35">
      <c r="A61" s="830"/>
    </row>
    <row r="62" spans="1:16" x14ac:dyDescent="0.35">
      <c r="A62" s="830"/>
      <c r="C62" t="str">
        <f>CONCATENATE("LB_VG, Pos. 4.14, ",C2)</f>
        <v>LB_VG, Pos. 4.14, Laserscanning</v>
      </c>
    </row>
    <row r="63" spans="1:16" x14ac:dyDescent="0.35">
      <c r="A63" s="830"/>
    </row>
    <row r="64" spans="1:16" x14ac:dyDescent="0.35">
      <c r="A64" s="830"/>
      <c r="C64" t="s">
        <v>959</v>
      </c>
      <c r="E64" s="243">
        <f>IS</f>
        <v>0</v>
      </c>
    </row>
    <row r="65" spans="1:15" x14ac:dyDescent="0.35">
      <c r="A65" s="830"/>
      <c r="C65" s="15"/>
    </row>
    <row r="66" spans="1:15" x14ac:dyDescent="0.35">
      <c r="A66" s="830"/>
      <c r="C66" s="442" t="s">
        <v>618</v>
      </c>
      <c r="D66" s="442" t="s">
        <v>619</v>
      </c>
      <c r="E66" s="443" t="s">
        <v>617</v>
      </c>
      <c r="F66" s="443" t="s">
        <v>620</v>
      </c>
      <c r="G66" s="443" t="s">
        <v>601</v>
      </c>
      <c r="H66" s="443" t="s">
        <v>616</v>
      </c>
    </row>
    <row r="67" spans="1:15" x14ac:dyDescent="0.35">
      <c r="A67" s="830"/>
      <c r="C67" s="446" t="str">
        <f>IF(C27&lt;&gt;"",C27,"")</f>
        <v/>
      </c>
      <c r="D67" s="440" t="str">
        <f t="shared" ref="D67:H67" si="2">IF(D27&lt;&gt;"",D27,"")</f>
        <v/>
      </c>
      <c r="E67" s="439" t="str">
        <f t="shared" si="2"/>
        <v/>
      </c>
      <c r="F67" s="439" t="str">
        <f t="shared" si="2"/>
        <v/>
      </c>
      <c r="G67" s="444" t="str">
        <f t="shared" si="2"/>
        <v/>
      </c>
      <c r="H67" s="441" t="str">
        <f t="shared" si="2"/>
        <v/>
      </c>
      <c r="K67" s="835" t="s">
        <v>626</v>
      </c>
      <c r="L67" s="879"/>
      <c r="M67" s="879"/>
      <c r="N67" s="879"/>
      <c r="O67" s="880"/>
    </row>
    <row r="68" spans="1:15" x14ac:dyDescent="0.35">
      <c r="A68" s="830"/>
      <c r="C68" s="446" t="str">
        <f t="shared" ref="C68:H83" si="3">IF(C28&lt;&gt;"",C28,"")</f>
        <v/>
      </c>
      <c r="D68" s="440" t="str">
        <f t="shared" si="3"/>
        <v/>
      </c>
      <c r="E68" s="439" t="str">
        <f t="shared" si="3"/>
        <v/>
      </c>
      <c r="F68" s="439" t="str">
        <f t="shared" si="3"/>
        <v/>
      </c>
      <c r="G68" s="444" t="str">
        <f t="shared" si="3"/>
        <v/>
      </c>
      <c r="H68" s="441" t="str">
        <f t="shared" si="3"/>
        <v/>
      </c>
      <c r="K68" s="881"/>
      <c r="L68" s="882"/>
      <c r="M68" s="882"/>
      <c r="N68" s="882"/>
      <c r="O68" s="883"/>
    </row>
    <row r="69" spans="1:15" x14ac:dyDescent="0.35">
      <c r="A69" s="830"/>
      <c r="C69" s="446" t="str">
        <f t="shared" si="3"/>
        <v/>
      </c>
      <c r="D69" s="440" t="str">
        <f t="shared" si="3"/>
        <v/>
      </c>
      <c r="E69" s="439" t="str">
        <f t="shared" si="3"/>
        <v/>
      </c>
      <c r="F69" s="439" t="str">
        <f t="shared" si="3"/>
        <v/>
      </c>
      <c r="G69" s="444" t="str">
        <f t="shared" si="3"/>
        <v/>
      </c>
      <c r="H69" s="441" t="str">
        <f t="shared" si="3"/>
        <v/>
      </c>
      <c r="K69" s="881"/>
      <c r="L69" s="882"/>
      <c r="M69" s="882"/>
      <c r="N69" s="882"/>
      <c r="O69" s="883"/>
    </row>
    <row r="70" spans="1:15" x14ac:dyDescent="0.35">
      <c r="A70" s="830"/>
      <c r="C70" s="446" t="str">
        <f t="shared" si="3"/>
        <v/>
      </c>
      <c r="D70" s="440" t="str">
        <f t="shared" si="3"/>
        <v/>
      </c>
      <c r="E70" s="439" t="str">
        <f t="shared" si="3"/>
        <v/>
      </c>
      <c r="F70" s="439" t="str">
        <f t="shared" si="3"/>
        <v/>
      </c>
      <c r="G70" s="444" t="str">
        <f t="shared" si="3"/>
        <v/>
      </c>
      <c r="H70" s="441" t="str">
        <f t="shared" si="3"/>
        <v/>
      </c>
      <c r="K70" s="881"/>
      <c r="L70" s="882"/>
      <c r="M70" s="882"/>
      <c r="N70" s="882"/>
      <c r="O70" s="883"/>
    </row>
    <row r="71" spans="1:15" x14ac:dyDescent="0.35">
      <c r="A71" s="830"/>
      <c r="C71" s="446" t="str">
        <f t="shared" si="3"/>
        <v/>
      </c>
      <c r="D71" s="440" t="str">
        <f t="shared" si="3"/>
        <v/>
      </c>
      <c r="E71" s="439" t="str">
        <f t="shared" si="3"/>
        <v/>
      </c>
      <c r="F71" s="439" t="str">
        <f t="shared" si="3"/>
        <v/>
      </c>
      <c r="G71" s="444" t="str">
        <f t="shared" si="3"/>
        <v/>
      </c>
      <c r="H71" s="441" t="str">
        <f t="shared" si="3"/>
        <v/>
      </c>
      <c r="K71" s="884"/>
      <c r="L71" s="885"/>
      <c r="M71" s="885"/>
      <c r="N71" s="885"/>
      <c r="O71" s="886"/>
    </row>
    <row r="72" spans="1:15" x14ac:dyDescent="0.35">
      <c r="A72" s="830"/>
      <c r="C72" s="446" t="str">
        <f t="shared" si="3"/>
        <v/>
      </c>
      <c r="D72" s="440" t="str">
        <f t="shared" si="3"/>
        <v/>
      </c>
      <c r="E72" s="439" t="str">
        <f t="shared" si="3"/>
        <v/>
      </c>
      <c r="F72" s="439" t="str">
        <f t="shared" si="3"/>
        <v/>
      </c>
      <c r="G72" s="444" t="str">
        <f t="shared" si="3"/>
        <v/>
      </c>
      <c r="H72" s="441" t="str">
        <f t="shared" si="3"/>
        <v/>
      </c>
    </row>
    <row r="73" spans="1:15" x14ac:dyDescent="0.35">
      <c r="A73" s="830"/>
      <c r="C73" s="446" t="str">
        <f t="shared" si="3"/>
        <v/>
      </c>
      <c r="D73" s="440" t="str">
        <f t="shared" si="3"/>
        <v/>
      </c>
      <c r="E73" s="439" t="str">
        <f t="shared" si="3"/>
        <v/>
      </c>
      <c r="F73" s="439" t="str">
        <f t="shared" si="3"/>
        <v/>
      </c>
      <c r="G73" s="444" t="str">
        <f t="shared" si="3"/>
        <v/>
      </c>
      <c r="H73" s="441" t="str">
        <f t="shared" si="3"/>
        <v/>
      </c>
    </row>
    <row r="74" spans="1:15" x14ac:dyDescent="0.35">
      <c r="A74" s="830"/>
      <c r="C74" s="446" t="str">
        <f t="shared" si="3"/>
        <v/>
      </c>
      <c r="D74" s="440" t="str">
        <f t="shared" si="3"/>
        <v/>
      </c>
      <c r="E74" s="439" t="str">
        <f t="shared" si="3"/>
        <v/>
      </c>
      <c r="F74" s="439" t="str">
        <f t="shared" si="3"/>
        <v/>
      </c>
      <c r="G74" s="444" t="str">
        <f t="shared" si="3"/>
        <v/>
      </c>
      <c r="H74" s="441" t="str">
        <f t="shared" si="3"/>
        <v/>
      </c>
    </row>
    <row r="75" spans="1:15" x14ac:dyDescent="0.35">
      <c r="A75" s="830"/>
      <c r="C75" s="446" t="str">
        <f t="shared" si="3"/>
        <v/>
      </c>
      <c r="D75" s="440" t="str">
        <f t="shared" si="3"/>
        <v/>
      </c>
      <c r="E75" s="439" t="str">
        <f t="shared" si="3"/>
        <v/>
      </c>
      <c r="F75" s="439" t="str">
        <f t="shared" si="3"/>
        <v/>
      </c>
      <c r="G75" s="444" t="str">
        <f t="shared" si="3"/>
        <v/>
      </c>
      <c r="H75" s="441" t="str">
        <f t="shared" si="3"/>
        <v/>
      </c>
    </row>
    <row r="76" spans="1:15" x14ac:dyDescent="0.35">
      <c r="A76" s="830"/>
      <c r="C76" s="446" t="str">
        <f t="shared" si="3"/>
        <v/>
      </c>
      <c r="D76" s="440" t="str">
        <f t="shared" si="3"/>
        <v/>
      </c>
      <c r="E76" s="439" t="str">
        <f t="shared" si="3"/>
        <v/>
      </c>
      <c r="F76" s="439" t="str">
        <f t="shared" si="3"/>
        <v/>
      </c>
      <c r="G76" s="444" t="str">
        <f t="shared" si="3"/>
        <v/>
      </c>
      <c r="H76" s="441" t="str">
        <f t="shared" si="3"/>
        <v/>
      </c>
    </row>
    <row r="77" spans="1:15" x14ac:dyDescent="0.35">
      <c r="A77" s="830"/>
      <c r="C77" s="446" t="str">
        <f t="shared" si="3"/>
        <v/>
      </c>
      <c r="D77" s="440" t="str">
        <f t="shared" si="3"/>
        <v/>
      </c>
      <c r="E77" s="439" t="str">
        <f t="shared" si="3"/>
        <v/>
      </c>
      <c r="F77" s="439" t="str">
        <f t="shared" si="3"/>
        <v/>
      </c>
      <c r="G77" s="444" t="str">
        <f t="shared" si="3"/>
        <v/>
      </c>
      <c r="H77" s="441" t="str">
        <f t="shared" si="3"/>
        <v/>
      </c>
    </row>
    <row r="78" spans="1:15" x14ac:dyDescent="0.35">
      <c r="A78" s="830"/>
      <c r="C78" s="446" t="str">
        <f t="shared" si="3"/>
        <v/>
      </c>
      <c r="D78" s="440" t="str">
        <f t="shared" si="3"/>
        <v/>
      </c>
      <c r="E78" s="439" t="str">
        <f t="shared" si="3"/>
        <v/>
      </c>
      <c r="F78" s="439" t="str">
        <f t="shared" si="3"/>
        <v/>
      </c>
      <c r="G78" s="444" t="str">
        <f t="shared" si="3"/>
        <v/>
      </c>
      <c r="H78" s="441" t="str">
        <f t="shared" si="3"/>
        <v/>
      </c>
    </row>
    <row r="79" spans="1:15" x14ac:dyDescent="0.35">
      <c r="A79" s="830"/>
      <c r="C79" s="446" t="str">
        <f t="shared" si="3"/>
        <v/>
      </c>
      <c r="D79" s="440" t="str">
        <f t="shared" si="3"/>
        <v/>
      </c>
      <c r="E79" s="439" t="str">
        <f t="shared" si="3"/>
        <v/>
      </c>
      <c r="F79" s="439" t="str">
        <f t="shared" si="3"/>
        <v/>
      </c>
      <c r="G79" s="444" t="str">
        <f t="shared" si="3"/>
        <v/>
      </c>
      <c r="H79" s="441" t="str">
        <f t="shared" si="3"/>
        <v/>
      </c>
    </row>
    <row r="80" spans="1:15" x14ac:dyDescent="0.35">
      <c r="A80" s="830"/>
      <c r="C80" s="446" t="str">
        <f t="shared" si="3"/>
        <v/>
      </c>
      <c r="D80" s="440" t="str">
        <f t="shared" si="3"/>
        <v/>
      </c>
      <c r="E80" s="439" t="str">
        <f t="shared" si="3"/>
        <v/>
      </c>
      <c r="F80" s="439" t="str">
        <f t="shared" si="3"/>
        <v/>
      </c>
      <c r="G80" s="444" t="str">
        <f t="shared" si="3"/>
        <v/>
      </c>
      <c r="H80" s="441" t="str">
        <f t="shared" si="3"/>
        <v/>
      </c>
    </row>
    <row r="81" spans="1:9" x14ac:dyDescent="0.35">
      <c r="A81" s="830"/>
      <c r="B81" s="3"/>
      <c r="C81" s="446" t="str">
        <f t="shared" si="3"/>
        <v/>
      </c>
      <c r="D81" s="440" t="str">
        <f t="shared" si="3"/>
        <v/>
      </c>
      <c r="E81" s="439" t="str">
        <f t="shared" si="3"/>
        <v/>
      </c>
      <c r="F81" s="439" t="str">
        <f t="shared" si="3"/>
        <v/>
      </c>
      <c r="G81" s="444" t="str">
        <f t="shared" si="3"/>
        <v/>
      </c>
      <c r="H81" s="441" t="str">
        <f t="shared" si="3"/>
        <v/>
      </c>
    </row>
    <row r="82" spans="1:9" x14ac:dyDescent="0.35">
      <c r="A82" s="830"/>
      <c r="C82" s="446" t="str">
        <f t="shared" si="3"/>
        <v/>
      </c>
      <c r="D82" s="440" t="str">
        <f t="shared" si="3"/>
        <v/>
      </c>
      <c r="E82" s="439" t="str">
        <f t="shared" si="3"/>
        <v/>
      </c>
      <c r="F82" s="439" t="str">
        <f t="shared" si="3"/>
        <v/>
      </c>
      <c r="G82" s="444" t="str">
        <f t="shared" si="3"/>
        <v/>
      </c>
      <c r="H82" s="441" t="str">
        <f t="shared" si="3"/>
        <v/>
      </c>
    </row>
    <row r="83" spans="1:9" x14ac:dyDescent="0.35">
      <c r="A83" s="830"/>
      <c r="C83" s="446" t="str">
        <f t="shared" si="3"/>
        <v/>
      </c>
      <c r="D83" s="440" t="str">
        <f t="shared" si="3"/>
        <v/>
      </c>
      <c r="E83" s="439" t="str">
        <f t="shared" si="3"/>
        <v/>
      </c>
      <c r="F83" s="439" t="str">
        <f t="shared" si="3"/>
        <v/>
      </c>
      <c r="G83" s="444" t="str">
        <f t="shared" si="3"/>
        <v/>
      </c>
      <c r="H83" s="441" t="str">
        <f t="shared" si="3"/>
        <v/>
      </c>
    </row>
    <row r="84" spans="1:9" x14ac:dyDescent="0.35">
      <c r="A84" s="830"/>
      <c r="C84" s="446" t="str">
        <f t="shared" ref="C84:H86" si="4">IF(C44&lt;&gt;"",C44,"")</f>
        <v/>
      </c>
      <c r="D84" s="440" t="str">
        <f t="shared" si="4"/>
        <v/>
      </c>
      <c r="E84" s="439" t="str">
        <f t="shared" si="4"/>
        <v/>
      </c>
      <c r="F84" s="439" t="str">
        <f t="shared" si="4"/>
        <v/>
      </c>
      <c r="G84" s="444" t="str">
        <f t="shared" si="4"/>
        <v/>
      </c>
      <c r="H84" s="441" t="str">
        <f t="shared" si="4"/>
        <v/>
      </c>
    </row>
    <row r="85" spans="1:9" x14ac:dyDescent="0.35">
      <c r="A85" s="830"/>
      <c r="C85" s="446" t="str">
        <f t="shared" si="4"/>
        <v/>
      </c>
      <c r="D85" s="440" t="str">
        <f t="shared" si="4"/>
        <v/>
      </c>
      <c r="E85" s="439" t="str">
        <f t="shared" si="4"/>
        <v/>
      </c>
      <c r="F85" s="439" t="str">
        <f t="shared" si="4"/>
        <v/>
      </c>
      <c r="G85" s="444" t="str">
        <f t="shared" si="4"/>
        <v/>
      </c>
      <c r="H85" s="441" t="str">
        <f t="shared" si="4"/>
        <v/>
      </c>
    </row>
    <row r="86" spans="1:9" x14ac:dyDescent="0.35">
      <c r="A86" s="830"/>
      <c r="C86" s="446" t="str">
        <f t="shared" si="4"/>
        <v/>
      </c>
      <c r="D86" s="291" t="str">
        <f t="shared" si="4"/>
        <v/>
      </c>
      <c r="E86" s="439" t="str">
        <f t="shared" si="4"/>
        <v/>
      </c>
      <c r="F86" s="439" t="str">
        <f t="shared" si="4"/>
        <v/>
      </c>
      <c r="G86" s="444" t="str">
        <f t="shared" si="4"/>
        <v/>
      </c>
      <c r="H86" s="441" t="str">
        <f t="shared" si="4"/>
        <v/>
      </c>
    </row>
    <row r="87" spans="1:9" x14ac:dyDescent="0.35">
      <c r="A87" s="830"/>
      <c r="C87" s="447"/>
      <c r="D87" s="447"/>
      <c r="E87" s="447"/>
      <c r="F87" s="447"/>
      <c r="G87" s="892" t="str">
        <f>IF(VSK&lt;&gt;0, SUM(H67:H86),"")</f>
        <v/>
      </c>
      <c r="H87" s="892"/>
    </row>
    <row r="88" spans="1:9" x14ac:dyDescent="0.35">
      <c r="A88" s="830"/>
    </row>
    <row r="89" spans="1:9" x14ac:dyDescent="0.35">
      <c r="A89" s="830"/>
      <c r="B89" s="3"/>
      <c r="C89" t="str">
        <f>IF(AND(ZuAbschlag&lt;&gt;0,VSK&lt;&gt;0),"Zu-/Abschlag:","")</f>
        <v/>
      </c>
      <c r="E89" s="15" t="str">
        <f>IF(AND(ZuAbschlag&lt;&gt;0,VSK&lt;&gt;0),ZuAbschlag,"")</f>
        <v/>
      </c>
      <c r="F89" s="481" t="str">
        <f>IF(AND(ZuAbschlag&lt;&gt;0,VSK&lt;&gt;0),G87*E89,"")</f>
        <v/>
      </c>
      <c r="G89" s="1" t="str">
        <f>IF(AND(ZuAbschlag&lt;&gt;0,VSK&lt;&gt;0,F49&lt;&gt;""),F49,"")</f>
        <v/>
      </c>
    </row>
    <row r="90" spans="1:9" ht="15.5" x14ac:dyDescent="0.35">
      <c r="A90" s="830"/>
      <c r="C90" t="str">
        <f>IF(AND(NK&lt;&gt;0,VSK&lt;&gt;0),"Nebenkosten:","")</f>
        <v/>
      </c>
      <c r="F90" s="481" t="str">
        <f>IF(AND(NK&lt;&gt;0,VSK&lt;&gt;0),NK,"")</f>
        <v/>
      </c>
      <c r="G90" s="1" t="str">
        <f>IF(AND(NK&lt;&gt;0,VSK&lt;&gt;0,F50&lt;&gt;""),F50,"")</f>
        <v/>
      </c>
      <c r="I90" s="16"/>
    </row>
    <row r="91" spans="1:9" x14ac:dyDescent="0.35">
      <c r="A91" s="830"/>
    </row>
    <row r="92" spans="1:9" ht="15.5" x14ac:dyDescent="0.35">
      <c r="A92" s="830"/>
      <c r="C92" s="16" t="s">
        <v>65</v>
      </c>
      <c r="D92" s="16"/>
      <c r="E92" s="16"/>
      <c r="F92" s="16"/>
      <c r="G92" s="893">
        <f>IF(VSK&gt;0,SUM(F90,F89,G87),0)</f>
        <v>0</v>
      </c>
      <c r="H92" s="894"/>
    </row>
    <row r="93" spans="1:9" x14ac:dyDescent="0.35">
      <c r="A93" s="830"/>
    </row>
    <row r="94" spans="1:9" x14ac:dyDescent="0.35">
      <c r="A94" s="830"/>
    </row>
    <row r="95" spans="1:9" x14ac:dyDescent="0.35">
      <c r="A95" s="830"/>
    </row>
  </sheetData>
  <mergeCells count="14">
    <mergeCell ref="F49:H49"/>
    <mergeCell ref="A1:A53"/>
    <mergeCell ref="C2:H2"/>
    <mergeCell ref="A54:A95"/>
    <mergeCell ref="B55:I55"/>
    <mergeCell ref="B56:I56"/>
    <mergeCell ref="B57:I57"/>
    <mergeCell ref="B58:I58"/>
    <mergeCell ref="B60:I60"/>
    <mergeCell ref="K67:O71"/>
    <mergeCell ref="G87:H87"/>
    <mergeCell ref="G92:H92"/>
    <mergeCell ref="F50:H50"/>
    <mergeCell ref="G52:H52"/>
  </mergeCells>
  <dataValidations count="4">
    <dataValidation type="decimal" operator="greaterThan" allowBlank="1" showInputMessage="1" showErrorMessage="1" sqref="E50" xr:uid="{00000000-0002-0000-1500-000000000000}">
      <formula1>-1000000</formula1>
    </dataValidation>
    <dataValidation type="decimal" operator="greaterThan" showInputMessage="1" showErrorMessage="1" sqref="E49" xr:uid="{00000000-0002-0000-1500-000001000000}">
      <formula1>-1000</formula1>
    </dataValidation>
    <dataValidation type="list" showInputMessage="1" showErrorMessage="1" sqref="E27:E46" xr:uid="{8BEBFBA1-70F5-4025-A5E8-0C4E6C5AA8D6}">
      <formula1>$G$5:$G$24</formula1>
    </dataValidation>
    <dataValidation type="decimal" operator="greaterThanOrEqual" allowBlank="1" showInputMessage="1" showErrorMessage="1" error="Zahl eingeben!" sqref="F27:F46" xr:uid="{D2530CB4-B087-42D3-9C16-8EF7E18504D0}">
      <formula1>0</formula1>
    </dataValidation>
  </dataValidations>
  <pageMargins left="0.70866141732283472" right="0.39370078740157483" top="0.59055118110236227" bottom="0.59055118110236227" header="0.31496062992125984" footer="0.31496062992125984"/>
  <pageSetup paperSize="9" orientation="portrait" r:id="rId1"/>
  <headerFooter>
    <oddFooter>&amp;L&amp;9&amp;F, &amp;A&amp;R&amp;9&amp;D</oddFooter>
  </headerFooter>
  <legacyDrawingHF r:id="rId2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24"/>
  <dimension ref="A1:R69"/>
  <sheetViews>
    <sheetView zoomScaleNormal="100" zoomScaleSheetLayoutView="100" workbookViewId="0">
      <selection activeCell="C7" sqref="C7"/>
    </sheetView>
  </sheetViews>
  <sheetFormatPr baseColWidth="10" defaultRowHeight="14.5" x14ac:dyDescent="0.35"/>
  <cols>
    <col min="1" max="1" width="4" customWidth="1"/>
    <col min="2" max="2" width="6.7265625" customWidth="1"/>
    <col min="3" max="8" width="12.7265625" customWidth="1"/>
    <col min="9" max="9" width="5.7265625" customWidth="1"/>
    <col min="10" max="10" width="8.7265625" style="18" customWidth="1"/>
    <col min="11" max="11" width="11.453125" style="92"/>
    <col min="12" max="13" width="11.453125" style="93"/>
    <col min="14" max="18" width="11.453125" style="94"/>
  </cols>
  <sheetData>
    <row r="1" spans="1:18" ht="17.25" customHeight="1" x14ac:dyDescent="0.35">
      <c r="A1" s="833" t="s">
        <v>35</v>
      </c>
      <c r="B1" s="45"/>
      <c r="C1" s="45"/>
      <c r="D1" s="45"/>
      <c r="E1" s="45"/>
      <c r="F1" s="45"/>
      <c r="G1" s="45"/>
      <c r="H1" s="45"/>
      <c r="I1" s="45"/>
      <c r="K1" s="93" t="s">
        <v>699</v>
      </c>
      <c r="N1" s="94">
        <f ca="1">CELL("ZEILE",B27)</f>
        <v>27</v>
      </c>
    </row>
    <row r="2" spans="1:18" ht="22.5" customHeight="1" x14ac:dyDescent="0.35">
      <c r="A2" s="833"/>
      <c r="B2" s="46"/>
      <c r="C2" s="47" t="s">
        <v>36</v>
      </c>
      <c r="D2" s="848" t="s">
        <v>101</v>
      </c>
      <c r="E2" s="849"/>
      <c r="F2" s="849"/>
      <c r="G2" s="849"/>
      <c r="H2" s="850"/>
      <c r="I2" s="45"/>
      <c r="K2" s="175" t="s">
        <v>700</v>
      </c>
      <c r="L2" s="155"/>
      <c r="M2" s="155"/>
      <c r="N2" s="175">
        <f ca="1">CELL("ZEILE",G60)</f>
        <v>60</v>
      </c>
      <c r="O2" s="175"/>
      <c r="P2" s="175"/>
    </row>
    <row r="3" spans="1:18" ht="22.5" customHeight="1" x14ac:dyDescent="0.35">
      <c r="A3" s="833"/>
      <c r="B3" s="46"/>
      <c r="C3" s="61"/>
      <c r="D3" s="938"/>
      <c r="E3" s="939"/>
      <c r="F3" s="939"/>
      <c r="G3" s="939"/>
      <c r="H3" s="940"/>
      <c r="I3" s="45"/>
      <c r="K3" s="175" t="s">
        <v>701</v>
      </c>
      <c r="L3" s="155"/>
      <c r="M3" s="155"/>
      <c r="N3" s="175">
        <f>F19</f>
        <v>0</v>
      </c>
      <c r="O3" s="175"/>
      <c r="P3" s="175"/>
    </row>
    <row r="4" spans="1:18" ht="17.25" customHeight="1" x14ac:dyDescent="0.35">
      <c r="A4" s="833"/>
      <c r="B4" s="46"/>
      <c r="C4" s="63"/>
      <c r="D4" s="14"/>
      <c r="E4" s="14"/>
      <c r="F4" s="14"/>
      <c r="G4" s="14"/>
      <c r="H4" s="64"/>
      <c r="I4" s="45"/>
      <c r="K4" s="175"/>
      <c r="L4" s="219"/>
      <c r="M4" s="220"/>
      <c r="N4" s="175"/>
      <c r="O4" s="175"/>
      <c r="P4" s="175"/>
      <c r="Q4" s="175"/>
    </row>
    <row r="5" spans="1:18" ht="17.25" customHeight="1" x14ac:dyDescent="0.35">
      <c r="A5" s="833"/>
      <c r="B5" s="46"/>
      <c r="C5" s="213"/>
      <c r="D5" s="157"/>
      <c r="E5" s="157"/>
      <c r="F5" s="157"/>
      <c r="G5" s="157"/>
      <c r="H5" s="157"/>
      <c r="I5" s="45"/>
      <c r="K5" s="175"/>
      <c r="L5" s="219"/>
      <c r="M5" s="220"/>
      <c r="N5" s="175"/>
      <c r="O5" s="175"/>
      <c r="P5" s="175"/>
    </row>
    <row r="6" spans="1:18" ht="17.25" customHeight="1" x14ac:dyDescent="0.35">
      <c r="A6" s="833"/>
      <c r="B6" s="46"/>
      <c r="C6" s="202" t="s">
        <v>246</v>
      </c>
      <c r="D6" s="937" t="s">
        <v>247</v>
      </c>
      <c r="E6" s="937"/>
      <c r="F6" s="937"/>
      <c r="G6" s="157" t="s">
        <v>239</v>
      </c>
      <c r="H6" s="157" t="s">
        <v>148</v>
      </c>
      <c r="I6" s="45"/>
      <c r="K6" s="222" t="s">
        <v>237</v>
      </c>
      <c r="L6" s="229" t="s">
        <v>236</v>
      </c>
      <c r="M6" s="230" t="s">
        <v>252</v>
      </c>
      <c r="N6" s="221"/>
      <c r="O6" s="221"/>
    </row>
    <row r="7" spans="1:18" ht="19.5" customHeight="1" x14ac:dyDescent="0.35">
      <c r="A7" s="833"/>
      <c r="B7" s="46"/>
      <c r="C7" s="564"/>
      <c r="D7" s="980" t="s">
        <v>220</v>
      </c>
      <c r="E7" s="980"/>
      <c r="F7" s="980"/>
      <c r="G7" s="71" t="s">
        <v>240</v>
      </c>
      <c r="H7" s="214" t="s">
        <v>173</v>
      </c>
      <c r="I7" s="203"/>
      <c r="K7" s="221">
        <f>VLOOKUP(D7,Konstante!$D$158:$F$170,3,FALSE)</f>
        <v>0.31</v>
      </c>
      <c r="L7" s="221">
        <f>VLOOKUP(D7,Konstante!$D$158:$F$170,2,FALSE)</f>
        <v>0.3</v>
      </c>
      <c r="M7" s="222">
        <f>VLOOKUP(G7,Konstante!$I$160:$M$162,VLOOKUP(H7,Konstante!$I$166:$J$168,2,FALSE),FALSE)</f>
        <v>1</v>
      </c>
      <c r="N7" s="232">
        <f>(K7*C7)+(L7*M7*C7)</f>
        <v>0</v>
      </c>
      <c r="O7" s="221"/>
    </row>
    <row r="8" spans="1:18" s="2" customFormat="1" ht="20.149999999999999" customHeight="1" x14ac:dyDescent="0.35">
      <c r="A8" s="833"/>
      <c r="B8" s="46"/>
      <c r="C8" s="564"/>
      <c r="D8" s="980" t="s">
        <v>222</v>
      </c>
      <c r="E8" s="980"/>
      <c r="F8" s="980"/>
      <c r="G8" s="71" t="s">
        <v>240</v>
      </c>
      <c r="H8" s="214" t="s">
        <v>173</v>
      </c>
      <c r="I8" s="154"/>
      <c r="J8" s="19"/>
      <c r="K8" s="221">
        <f>VLOOKUP(D8,Konstante!$D$158:$F$170,3,FALSE)</f>
        <v>0.27</v>
      </c>
      <c r="L8" s="221">
        <f>VLOOKUP(D8,Konstante!$D$158:$F$170,2,FALSE)</f>
        <v>0.54</v>
      </c>
      <c r="M8" s="222">
        <f>VLOOKUP(G8,Konstante!$I$160:$M$162,VLOOKUP(H8,Konstante!$I$166:$J$168,2,FALSE),FALSE)</f>
        <v>1</v>
      </c>
      <c r="N8" s="232">
        <f t="shared" ref="N8:N12" si="0">(K8*C8)+(L8*M8*C8)</f>
        <v>0</v>
      </c>
      <c r="O8" s="223"/>
      <c r="P8" s="98"/>
      <c r="Q8" s="98"/>
      <c r="R8" s="98"/>
    </row>
    <row r="9" spans="1:18" s="2" customFormat="1" ht="20.149999999999999" customHeight="1" x14ac:dyDescent="0.35">
      <c r="A9" s="833"/>
      <c r="B9" s="46"/>
      <c r="C9" s="564"/>
      <c r="D9" s="980" t="s">
        <v>223</v>
      </c>
      <c r="E9" s="980"/>
      <c r="F9" s="980"/>
      <c r="G9" s="71" t="s">
        <v>240</v>
      </c>
      <c r="H9" s="214" t="s">
        <v>173</v>
      </c>
      <c r="I9" s="204"/>
      <c r="J9" s="19"/>
      <c r="K9" s="221">
        <f>VLOOKUP(D9,Konstante!$D$158:$F$170,3,FALSE)</f>
        <v>0.17</v>
      </c>
      <c r="L9" s="221">
        <f>VLOOKUP(D9,Konstante!$D$158:$F$170,2,FALSE)</f>
        <v>0.54</v>
      </c>
      <c r="M9" s="222">
        <f>VLOOKUP(G9,Konstante!$I$160:$M$162,VLOOKUP(H9,Konstante!$I$166:$J$168,2,FALSE),FALSE)</f>
        <v>1</v>
      </c>
      <c r="N9" s="232">
        <f t="shared" si="0"/>
        <v>0</v>
      </c>
      <c r="O9" s="223"/>
      <c r="P9" s="98"/>
      <c r="Q9" s="98"/>
      <c r="R9" s="98"/>
    </row>
    <row r="10" spans="1:18" s="2" customFormat="1" ht="20.149999999999999" customHeight="1" x14ac:dyDescent="0.35">
      <c r="A10" s="833"/>
      <c r="B10" s="46"/>
      <c r="C10" s="564"/>
      <c r="D10" s="980" t="s">
        <v>224</v>
      </c>
      <c r="E10" s="980"/>
      <c r="F10" s="980"/>
      <c r="G10" s="71" t="s">
        <v>240</v>
      </c>
      <c r="H10" s="214" t="s">
        <v>173</v>
      </c>
      <c r="I10" s="204"/>
      <c r="J10" s="19"/>
      <c r="K10" s="221">
        <f>VLOOKUP(D10,Konstante!$D$158:$F$170,3,FALSE)</f>
        <v>0.05</v>
      </c>
      <c r="L10" s="221">
        <f>VLOOKUP(D10,Konstante!$D$158:$F$170,2,FALSE)</f>
        <v>0.12</v>
      </c>
      <c r="M10" s="222">
        <f>VLOOKUP(G10,Konstante!$I$160:$M$162,VLOOKUP(H10,Konstante!$I$166:$J$168,2,FALSE),FALSE)</f>
        <v>1</v>
      </c>
      <c r="N10" s="232">
        <f t="shared" si="0"/>
        <v>0</v>
      </c>
      <c r="O10" s="223"/>
      <c r="P10" s="98"/>
      <c r="Q10" s="98"/>
      <c r="R10" s="98"/>
    </row>
    <row r="11" spans="1:18" s="2" customFormat="1" ht="20.149999999999999" customHeight="1" x14ac:dyDescent="0.35">
      <c r="A11" s="833"/>
      <c r="B11" s="46"/>
      <c r="C11" s="564"/>
      <c r="D11" s="980" t="s">
        <v>225</v>
      </c>
      <c r="E11" s="980"/>
      <c r="F11" s="980"/>
      <c r="G11" s="71" t="s">
        <v>240</v>
      </c>
      <c r="H11" s="214" t="s">
        <v>173</v>
      </c>
      <c r="I11" s="204"/>
      <c r="J11" s="19"/>
      <c r="K11" s="221">
        <f>VLOOKUP(D11,Konstante!$D$158:$F$170,3,FALSE)</f>
        <v>0.02</v>
      </c>
      <c r="L11" s="221">
        <f>VLOOKUP(D11,Konstante!$D$158:$F$170,2,FALSE)</f>
        <v>0.18</v>
      </c>
      <c r="M11" s="222">
        <f>VLOOKUP(G11,Konstante!$I$160:$M$162,VLOOKUP(H11,Konstante!$I$166:$J$168,2,FALSE),FALSE)</f>
        <v>1</v>
      </c>
      <c r="N11" s="232">
        <f t="shared" si="0"/>
        <v>0</v>
      </c>
      <c r="O11" s="223"/>
      <c r="P11" s="98"/>
      <c r="Q11" s="98"/>
      <c r="R11" s="98"/>
    </row>
    <row r="12" spans="1:18" s="2" customFormat="1" ht="20.149999999999999" customHeight="1" x14ac:dyDescent="0.35">
      <c r="A12" s="833"/>
      <c r="B12" s="46"/>
      <c r="C12" s="605"/>
      <c r="D12" s="979" t="s">
        <v>226</v>
      </c>
      <c r="E12" s="979"/>
      <c r="F12" s="979"/>
      <c r="G12" s="460" t="s">
        <v>240</v>
      </c>
      <c r="H12" s="461" t="s">
        <v>173</v>
      </c>
      <c r="I12" s="47"/>
      <c r="J12" s="19"/>
      <c r="K12" s="221">
        <f>VLOOKUP(D12,Konstante!$D$158:$F$170,3,FALSE)</f>
        <v>7.0000000000000007E-2</v>
      </c>
      <c r="L12" s="221">
        <f>VLOOKUP(D12,Konstante!$D$158:$F$170,2,FALSE)</f>
        <v>0.03</v>
      </c>
      <c r="M12" s="222">
        <f>VLOOKUP(G12,Konstante!$I$160:$M$162,VLOOKUP(H12,Konstante!$I$166:$J$168,2,FALSE),FALSE)</f>
        <v>1</v>
      </c>
      <c r="N12" s="232">
        <f t="shared" si="0"/>
        <v>0</v>
      </c>
      <c r="O12" s="223"/>
      <c r="P12" s="98"/>
      <c r="Q12" s="98"/>
      <c r="R12" s="98"/>
    </row>
    <row r="13" spans="1:18" s="2" customFormat="1" ht="20.149999999999999" customHeight="1" x14ac:dyDescent="0.35">
      <c r="A13" s="833"/>
      <c r="B13" s="45"/>
      <c r="C13" s="565">
        <f>SUM(C7:C12)</f>
        <v>0</v>
      </c>
      <c r="D13" s="195" t="str">
        <f>IF(C13&gt;1,"Punkte","Punkt")</f>
        <v>Punkt</v>
      </c>
      <c r="E13" s="606"/>
      <c r="F13" s="606"/>
      <c r="G13" s="606"/>
      <c r="H13" s="606"/>
      <c r="I13" s="47"/>
      <c r="J13" s="19"/>
      <c r="K13" s="223"/>
      <c r="L13" s="223"/>
      <c r="M13" s="224"/>
      <c r="N13" s="232">
        <f>SUM(N7:N12)</f>
        <v>0</v>
      </c>
      <c r="O13" s="223"/>
      <c r="P13" s="98"/>
      <c r="Q13" s="98"/>
      <c r="R13" s="98"/>
    </row>
    <row r="14" spans="1:18" s="2" customFormat="1" ht="20.149999999999999" customHeight="1" x14ac:dyDescent="0.35">
      <c r="A14" s="833"/>
      <c r="B14" s="46"/>
      <c r="C14" s="215"/>
      <c r="D14" s="217"/>
      <c r="E14" s="64"/>
      <c r="F14" s="64"/>
      <c r="G14" s="64"/>
      <c r="H14" s="64"/>
      <c r="I14" s="154"/>
      <c r="J14" s="19"/>
      <c r="K14" s="223"/>
      <c r="L14" s="225"/>
      <c r="M14" s="226"/>
      <c r="N14" s="232"/>
      <c r="O14" s="223"/>
      <c r="P14" s="98"/>
      <c r="Q14" s="98"/>
      <c r="R14" s="98"/>
    </row>
    <row r="15" spans="1:18" s="2" customFormat="1" ht="20.149999999999999" customHeight="1" x14ac:dyDescent="0.35">
      <c r="A15" s="833"/>
      <c r="B15" s="46"/>
      <c r="C15" s="215"/>
      <c r="D15" s="216"/>
      <c r="E15" s="14"/>
      <c r="F15" s="592" t="s">
        <v>633</v>
      </c>
      <c r="G15" s="14"/>
      <c r="H15" s="64"/>
      <c r="I15" s="154"/>
      <c r="J15" s="19"/>
      <c r="K15" s="223"/>
      <c r="L15" s="225"/>
      <c r="M15" s="226"/>
      <c r="N15" s="232"/>
      <c r="O15" s="223"/>
      <c r="P15" s="98"/>
      <c r="Q15" s="98"/>
      <c r="R15" s="98"/>
    </row>
    <row r="16" spans="1:18" s="2" customFormat="1" ht="20.149999999999999" customHeight="1" x14ac:dyDescent="0.35">
      <c r="A16" s="833"/>
      <c r="B16" s="46"/>
      <c r="C16" s="72" t="s">
        <v>562</v>
      </c>
      <c r="D16" s="320"/>
      <c r="E16" s="47"/>
      <c r="F16" s="868"/>
      <c r="G16" s="869"/>
      <c r="H16" s="218"/>
      <c r="I16" s="47"/>
      <c r="J16" s="19"/>
      <c r="K16" s="223"/>
      <c r="L16" s="226"/>
      <c r="M16" s="226"/>
      <c r="N16" s="232"/>
      <c r="O16" s="223"/>
      <c r="P16" s="98"/>
      <c r="Q16" s="98"/>
      <c r="R16" s="98"/>
    </row>
    <row r="17" spans="1:18" s="2" customFormat="1" ht="20.149999999999999" customHeight="1" x14ac:dyDescent="0.35">
      <c r="A17" s="833"/>
      <c r="B17" s="46"/>
      <c r="C17" s="68" t="s">
        <v>630</v>
      </c>
      <c r="D17" s="321"/>
      <c r="E17" s="47"/>
      <c r="F17" s="867"/>
      <c r="G17" s="867"/>
      <c r="H17" s="64"/>
      <c r="I17" s="47"/>
      <c r="J17" s="19"/>
      <c r="K17" s="223"/>
      <c r="L17" s="226"/>
      <c r="M17" s="226"/>
      <c r="N17" s="232"/>
      <c r="O17" s="223"/>
      <c r="P17" s="98"/>
      <c r="Q17" s="98"/>
      <c r="R17" s="98"/>
    </row>
    <row r="18" spans="1:18" s="2" customFormat="1" ht="20.149999999999999" customHeight="1" x14ac:dyDescent="0.35">
      <c r="A18" s="833"/>
      <c r="B18" s="46"/>
      <c r="C18" s="65"/>
      <c r="D18" s="66"/>
      <c r="E18" s="66"/>
      <c r="F18" s="66"/>
      <c r="G18" s="66"/>
      <c r="H18" s="67"/>
      <c r="I18" s="45"/>
      <c r="J18" s="19"/>
      <c r="K18" s="227"/>
      <c r="L18" s="226"/>
      <c r="M18" s="226"/>
      <c r="N18" s="232"/>
      <c r="O18" s="223"/>
      <c r="P18" s="98"/>
      <c r="Q18" s="98"/>
      <c r="R18" s="98"/>
    </row>
    <row r="19" spans="1:18" ht="19.5" customHeight="1" x14ac:dyDescent="0.5">
      <c r="A19" s="833"/>
      <c r="B19" s="45"/>
      <c r="C19" s="54" t="str">
        <f>IF(F19=0, "UNVOLLSTÄNDIG AUSGEFÜLLT!","")</f>
        <v>UNVOLLSTÄNDIG AUSGEFÜLLT!</v>
      </c>
      <c r="D19" s="45"/>
      <c r="E19" s="45"/>
      <c r="F19" s="451">
        <f>IF(AND(C7&lt;1,C8&lt;1,C9&lt;1,C10&lt;1,C11&lt;1,C12&lt;1),0,1)</f>
        <v>0</v>
      </c>
      <c r="G19" s="852" t="str">
        <f>IF(VSK&lt;&gt;0, G60,"")</f>
        <v/>
      </c>
      <c r="H19" s="852"/>
      <c r="I19" s="45"/>
      <c r="K19" s="228"/>
      <c r="L19" s="222"/>
      <c r="M19" s="228"/>
      <c r="O19" s="221"/>
    </row>
    <row r="20" spans="1:18" ht="19.5" customHeight="1" x14ac:dyDescent="0.35">
      <c r="A20" s="833"/>
      <c r="B20" s="45"/>
      <c r="C20" s="45"/>
      <c r="D20" s="45"/>
      <c r="E20" s="45"/>
      <c r="F20" s="45"/>
      <c r="G20" s="45"/>
      <c r="H20" s="45"/>
      <c r="I20" s="45"/>
      <c r="K20" s="228"/>
      <c r="L20" s="222"/>
      <c r="M20" s="222"/>
      <c r="N20" s="221"/>
      <c r="O20" s="221"/>
    </row>
    <row r="21" spans="1:18" ht="15.5" x14ac:dyDescent="0.35">
      <c r="A21" s="830" t="s">
        <v>66</v>
      </c>
      <c r="I21" s="577" t="str">
        <f ca="1">IF(VLOOKUP(B27,CHOOSE({5,4,3,2,1},Gesamt!L32:L65,Gesamt!M32:M65,Gesamt!N32:N65,Gesamt!O32:O65,Gesamt!P32:P65,),4,0)&gt;0,CONCATENATE("Pos. ",VLOOKUP(B27,CHOOSE({5,4,3,2,1},Gesamt!L32:L65,Gesamt!M32:M65,Gesamt!N32:N65,Gesamt!O32:O65,Gesamt!P32:P65,),VLOOKUP(Gesamt!C19,Gesamt!L5:N7,3,0),0)),"")</f>
        <v/>
      </c>
    </row>
    <row r="22" spans="1:18" x14ac:dyDescent="0.35">
      <c r="A22" s="830"/>
      <c r="B22" s="831" t="str">
        <f>CONCATENATE(Gesamt!C2, ": ", Gesamt!E2)</f>
        <v xml:space="preserve">Projekt: </v>
      </c>
      <c r="C22" s="831"/>
      <c r="D22" s="831"/>
      <c r="E22" s="831"/>
      <c r="F22" s="831"/>
      <c r="G22" s="831"/>
      <c r="H22" s="831"/>
      <c r="I22" s="831"/>
    </row>
    <row r="23" spans="1:18" x14ac:dyDescent="0.35">
      <c r="A23" s="830"/>
      <c r="B23" s="832" t="str">
        <f>CONCATENATE(Gesamt!C4, ": ", Gesamt!E4, IF(Gesamt!E5&lt;&gt;""," - ",""), IF(Gesamt!E5&lt;&gt;"",Gesamt!E5,""), IF(Gesamt!E6&lt;&gt;""," - GZ. ",""), IF(Gesamt!E6&lt;&gt;"",Gesamt!E6,""),)</f>
        <v xml:space="preserve">Auftraggeber: </v>
      </c>
      <c r="C23" s="832"/>
      <c r="D23" s="832"/>
      <c r="E23" s="832"/>
      <c r="F23" s="832"/>
      <c r="G23" s="832"/>
      <c r="H23" s="832"/>
      <c r="I23" s="832"/>
    </row>
    <row r="24" spans="1:18" x14ac:dyDescent="0.35">
      <c r="A24" s="830"/>
      <c r="B24" s="832" t="str">
        <f>CONCATENATE(Gesamt!C9, ": ",Gesamt!E9,  IF(Gesamt!C10&lt;&gt;""," - ",""), IF(Gesamt!C10&lt;&gt;"",Gesamt!E10,""), IF(Gesamt!C11&lt;&gt;""," - GZ. ",""), IF(Gesamt!C11&lt;&gt;"",Gesamt!E11,""), )</f>
        <v xml:space="preserve">Bieter:  -  - GZ. </v>
      </c>
      <c r="C24" s="832"/>
      <c r="D24" s="832"/>
      <c r="E24" s="832"/>
      <c r="F24" s="832"/>
      <c r="G24" s="832"/>
      <c r="H24" s="832"/>
      <c r="I24" s="832"/>
    </row>
    <row r="25" spans="1:18" x14ac:dyDescent="0.35">
      <c r="A25" s="830"/>
      <c r="B25" s="832" t="s">
        <v>41</v>
      </c>
      <c r="C25" s="832"/>
      <c r="D25" s="832"/>
      <c r="E25" s="832"/>
      <c r="F25" s="832"/>
      <c r="G25" s="832"/>
      <c r="H25" s="832"/>
      <c r="I25" s="832"/>
    </row>
    <row r="26" spans="1:18" x14ac:dyDescent="0.35">
      <c r="A26" s="830"/>
    </row>
    <row r="27" spans="1:18" s="9" customFormat="1" ht="23.25" customHeight="1" x14ac:dyDescent="0.35">
      <c r="A27" s="830"/>
      <c r="B27" s="843" t="str">
        <f>CONCATENATE(D2," ",D3)</f>
        <v xml:space="preserve">Signalisierung und Stabilisierung </v>
      </c>
      <c r="C27" s="843"/>
      <c r="D27" s="843"/>
      <c r="E27" s="843"/>
      <c r="F27" s="843"/>
      <c r="G27" s="843"/>
      <c r="H27" s="843"/>
      <c r="I27" s="843"/>
      <c r="J27" s="20"/>
      <c r="K27" s="101"/>
      <c r="L27" s="102"/>
      <c r="M27" s="102"/>
      <c r="N27" s="103"/>
      <c r="O27" s="103"/>
      <c r="P27" s="103"/>
      <c r="Q27" s="103"/>
      <c r="R27" s="103"/>
    </row>
    <row r="28" spans="1:18" x14ac:dyDescent="0.35">
      <c r="A28" s="830"/>
    </row>
    <row r="29" spans="1:18" x14ac:dyDescent="0.35">
      <c r="A29" s="830"/>
      <c r="C29" t="s">
        <v>697</v>
      </c>
    </row>
    <row r="30" spans="1:18" x14ac:dyDescent="0.35">
      <c r="A30" s="830"/>
    </row>
    <row r="31" spans="1:18" x14ac:dyDescent="0.35">
      <c r="A31" s="830"/>
      <c r="C31" t="s">
        <v>959</v>
      </c>
      <c r="E31" s="243">
        <f>Gesamt!E14</f>
        <v>0</v>
      </c>
    </row>
    <row r="32" spans="1:18" x14ac:dyDescent="0.35">
      <c r="A32" s="830"/>
      <c r="E32" s="243"/>
    </row>
    <row r="33" spans="1:18" x14ac:dyDescent="0.35">
      <c r="A33" s="830"/>
      <c r="C33" s="249" t="s">
        <v>749</v>
      </c>
      <c r="E33" s="243"/>
    </row>
    <row r="34" spans="1:18" x14ac:dyDescent="0.35">
      <c r="A34" s="830"/>
    </row>
    <row r="35" spans="1:18" ht="15" customHeight="1" x14ac:dyDescent="0.35">
      <c r="A35" s="830"/>
      <c r="C35" s="1"/>
    </row>
    <row r="36" spans="1:18" ht="15" customHeight="1" x14ac:dyDescent="0.35">
      <c r="A36" s="830"/>
      <c r="C36" s="201" t="s">
        <v>246</v>
      </c>
      <c r="D36" s="832" t="s">
        <v>247</v>
      </c>
      <c r="E36" s="832"/>
      <c r="F36" s="832"/>
      <c r="G36" s="234" t="s">
        <v>239</v>
      </c>
      <c r="H36" s="234" t="s">
        <v>148</v>
      </c>
    </row>
    <row r="37" spans="1:18" ht="15" customHeight="1" x14ac:dyDescent="0.35">
      <c r="A37" s="830"/>
      <c r="C37" s="235" t="str">
        <f>IF(C7&gt;0,C7,"")</f>
        <v/>
      </c>
      <c r="D37" s="978" t="str">
        <f>IF($C7&gt;0,D7,"")</f>
        <v/>
      </c>
      <c r="E37" s="978"/>
      <c r="F37" s="978"/>
      <c r="G37" s="235" t="str">
        <f>IF($C7&gt;0,G7,"")</f>
        <v/>
      </c>
      <c r="H37" s="235" t="str">
        <f>IF($C7&gt;0,H7,"")</f>
        <v/>
      </c>
    </row>
    <row r="38" spans="1:18" ht="15" customHeight="1" x14ac:dyDescent="0.35">
      <c r="A38" s="830"/>
      <c r="C38" s="235" t="str">
        <f t="shared" ref="C38:C42" si="1">IF(C8&gt;0,C8,"")</f>
        <v/>
      </c>
      <c r="D38" s="978" t="str">
        <f t="shared" ref="D38:D42" si="2">IF($C8&gt;0,D8,"")</f>
        <v/>
      </c>
      <c r="E38" s="978"/>
      <c r="F38" s="978"/>
      <c r="G38" s="235" t="str">
        <f t="shared" ref="G38:H38" si="3">IF($C8&gt;0,G8,"")</f>
        <v/>
      </c>
      <c r="H38" s="235" t="str">
        <f t="shared" si="3"/>
        <v/>
      </c>
    </row>
    <row r="39" spans="1:18" ht="15" customHeight="1" x14ac:dyDescent="0.35">
      <c r="A39" s="830"/>
      <c r="C39" s="235" t="str">
        <f t="shared" si="1"/>
        <v/>
      </c>
      <c r="D39" s="978" t="str">
        <f t="shared" si="2"/>
        <v/>
      </c>
      <c r="E39" s="978"/>
      <c r="F39" s="978"/>
      <c r="G39" s="235" t="str">
        <f t="shared" ref="G39:H39" si="4">IF($C9&gt;0,G9,"")</f>
        <v/>
      </c>
      <c r="H39" s="235" t="str">
        <f t="shared" si="4"/>
        <v/>
      </c>
    </row>
    <row r="40" spans="1:18" ht="15" customHeight="1" x14ac:dyDescent="0.35">
      <c r="A40" s="830"/>
      <c r="C40" s="235" t="str">
        <f t="shared" si="1"/>
        <v/>
      </c>
      <c r="D40" s="978" t="str">
        <f t="shared" si="2"/>
        <v/>
      </c>
      <c r="E40" s="978"/>
      <c r="F40" s="978"/>
      <c r="G40" s="235" t="str">
        <f t="shared" ref="G40:H40" si="5">IF($C10&gt;0,G10,"")</f>
        <v/>
      </c>
      <c r="H40" s="235" t="str">
        <f t="shared" si="5"/>
        <v/>
      </c>
    </row>
    <row r="41" spans="1:18" x14ac:dyDescent="0.35">
      <c r="A41" s="830"/>
      <c r="C41" s="235" t="str">
        <f t="shared" si="1"/>
        <v/>
      </c>
      <c r="D41" s="978" t="str">
        <f t="shared" si="2"/>
        <v/>
      </c>
      <c r="E41" s="978"/>
      <c r="F41" s="978"/>
      <c r="G41" s="235" t="str">
        <f t="shared" ref="G41:H41" si="6">IF($C11&gt;0,G11,"")</f>
        <v/>
      </c>
      <c r="H41" s="235" t="str">
        <f t="shared" si="6"/>
        <v/>
      </c>
    </row>
    <row r="42" spans="1:18" x14ac:dyDescent="0.35">
      <c r="A42" s="830"/>
      <c r="C42" s="235" t="str">
        <f t="shared" si="1"/>
        <v/>
      </c>
      <c r="D42" s="978" t="str">
        <f t="shared" si="2"/>
        <v/>
      </c>
      <c r="E42" s="978"/>
      <c r="F42" s="978"/>
      <c r="G42" s="235" t="str">
        <f t="shared" ref="G42:H42" si="7">IF($C12&gt;0,G12,"")</f>
        <v/>
      </c>
      <c r="H42" s="235" t="str">
        <f t="shared" si="7"/>
        <v/>
      </c>
    </row>
    <row r="43" spans="1:18" x14ac:dyDescent="0.35">
      <c r="A43" s="830"/>
      <c r="C43" s="593">
        <f>SUM(C37:C42)</f>
        <v>0</v>
      </c>
      <c r="D43" s="236" t="s">
        <v>198</v>
      </c>
      <c r="E43" s="236"/>
      <c r="F43" s="236"/>
      <c r="G43" s="236"/>
      <c r="H43" s="236"/>
    </row>
    <row r="44" spans="1:18" x14ac:dyDescent="0.35">
      <c r="A44" s="830"/>
      <c r="C44" s="233"/>
      <c r="D44" s="233"/>
      <c r="E44" s="233"/>
      <c r="F44" s="233"/>
      <c r="G44" s="233"/>
      <c r="H44" s="233"/>
    </row>
    <row r="45" spans="1:18" x14ac:dyDescent="0.35">
      <c r="A45" s="830"/>
      <c r="C45" s="233"/>
      <c r="D45" s="233"/>
      <c r="K45" s="119"/>
    </row>
    <row r="46" spans="1:18" s="3" customFormat="1" ht="15.5" x14ac:dyDescent="0.35">
      <c r="A46" s="830"/>
      <c r="B46"/>
      <c r="C46" s="237" t="s">
        <v>253</v>
      </c>
      <c r="D46" s="238"/>
      <c r="E46" s="238"/>
      <c r="F46" s="239"/>
      <c r="G46"/>
      <c r="H46"/>
      <c r="I46"/>
      <c r="J46" s="23"/>
      <c r="K46" s="120"/>
      <c r="L46" s="104"/>
      <c r="M46" s="104"/>
      <c r="N46" s="105"/>
      <c r="O46" s="105"/>
      <c r="P46" s="105"/>
      <c r="Q46" s="105"/>
      <c r="R46" s="105"/>
    </row>
    <row r="47" spans="1:18" x14ac:dyDescent="0.35">
      <c r="A47" s="830"/>
      <c r="C47" s="241" t="s">
        <v>249</v>
      </c>
      <c r="D47" s="240"/>
      <c r="E47" s="240"/>
      <c r="F47" s="240"/>
      <c r="K47" s="119"/>
    </row>
    <row r="48" spans="1:18" x14ac:dyDescent="0.35">
      <c r="A48" s="830"/>
      <c r="B48" s="3"/>
      <c r="C48" s="241" t="s">
        <v>250</v>
      </c>
      <c r="D48" s="240"/>
      <c r="E48" s="240"/>
      <c r="F48" s="240"/>
      <c r="I48" s="3"/>
    </row>
    <row r="49" spans="1:18" x14ac:dyDescent="0.35">
      <c r="A49" s="830"/>
      <c r="C49" s="241" t="s">
        <v>251</v>
      </c>
      <c r="D49" s="198"/>
    </row>
    <row r="50" spans="1:18" x14ac:dyDescent="0.35">
      <c r="A50" s="830"/>
      <c r="C50" s="28"/>
      <c r="D50" s="198"/>
    </row>
    <row r="51" spans="1:18" x14ac:dyDescent="0.35">
      <c r="A51" s="830"/>
      <c r="C51" s="28"/>
      <c r="D51" s="198"/>
    </row>
    <row r="52" spans="1:18" x14ac:dyDescent="0.35">
      <c r="A52" s="830"/>
      <c r="C52" s="28"/>
      <c r="D52" s="121"/>
      <c r="E52" s="122"/>
      <c r="F52" s="123"/>
      <c r="G52" s="28"/>
      <c r="H52" s="1"/>
    </row>
    <row r="53" spans="1:18" s="11" customFormat="1" ht="15.5" x14ac:dyDescent="0.35">
      <c r="A53" s="830"/>
      <c r="B53"/>
      <c r="C53" s="3" t="s">
        <v>60</v>
      </c>
      <c r="D53" s="3" t="str">
        <f t="shared" ref="D53:H53" si="8">IF(D14&lt;&gt;"",D14,"")</f>
        <v/>
      </c>
      <c r="E53" s="3" t="str">
        <f t="shared" si="8"/>
        <v/>
      </c>
      <c r="F53" s="22" t="str">
        <f>IF(VSK&lt;&gt;0, N13*IS,"")</f>
        <v/>
      </c>
      <c r="G53" s="444" t="str">
        <f t="shared" si="8"/>
        <v/>
      </c>
      <c r="H53" s="441" t="str">
        <f t="shared" si="8"/>
        <v/>
      </c>
      <c r="I53"/>
      <c r="J53" s="114"/>
      <c r="K53" s="115"/>
      <c r="L53" s="116"/>
      <c r="M53" s="116"/>
      <c r="N53" s="117"/>
      <c r="O53" s="117"/>
      <c r="P53" s="117"/>
      <c r="Q53" s="117"/>
      <c r="R53" s="117"/>
    </row>
    <row r="54" spans="1:18" x14ac:dyDescent="0.35">
      <c r="A54" s="830"/>
      <c r="C54" s="291"/>
      <c r="D54" s="291"/>
      <c r="E54" s="291"/>
      <c r="F54" s="291"/>
      <c r="G54" s="981"/>
      <c r="H54" s="981"/>
    </row>
    <row r="55" spans="1:18" ht="15.5" x14ac:dyDescent="0.35">
      <c r="A55" s="830"/>
      <c r="B55" s="11"/>
      <c r="I55" s="11"/>
    </row>
    <row r="56" spans="1:18" x14ac:dyDescent="0.35">
      <c r="A56" s="830"/>
      <c r="C56" t="str">
        <f>IF(AND(ZuAbschlag&lt;&gt;0,VSK&lt;&gt;0),"Zu-/Abschlag:","")</f>
        <v/>
      </c>
      <c r="E56" s="15" t="str">
        <f>IF(AND(ZuAbschlag&lt;&gt;0,VSK&lt;&gt;0),ZuAbschlag,"")</f>
        <v/>
      </c>
      <c r="F56" s="17" t="str">
        <f>IF(AND(ZuAbschlag&lt;&gt;0,VSK&lt;&gt;0),F53*E56,"")</f>
        <v/>
      </c>
      <c r="G56" s="1" t="str">
        <f>IF(AND(ZuAbschlag&lt;&gt;0,VSK&lt;&gt;0,F16&lt;&gt;""),F16,"")</f>
        <v/>
      </c>
    </row>
    <row r="57" spans="1:18" x14ac:dyDescent="0.35">
      <c r="A57" s="830"/>
      <c r="C57" t="str">
        <f>IF(AND(NK&lt;&gt;0,VSK&lt;&gt;0),"Nebenkosten:","")</f>
        <v/>
      </c>
      <c r="F57" s="17" t="str">
        <f>IF(AND(NK&lt;&gt;0,VSK&lt;&gt;0),NK,"")</f>
        <v/>
      </c>
      <c r="G57" s="1" t="str">
        <f>IF(AND(NK&lt;&gt;0,VSK&lt;&gt;0,F17&lt;&gt;""),F17,"")</f>
        <v/>
      </c>
    </row>
    <row r="58" spans="1:18" x14ac:dyDescent="0.35">
      <c r="A58" s="830"/>
      <c r="C58" s="78"/>
      <c r="D58" s="78"/>
      <c r="E58" s="78"/>
      <c r="F58" s="78"/>
      <c r="G58" s="78"/>
      <c r="H58" s="78"/>
    </row>
    <row r="59" spans="1:18" x14ac:dyDescent="0.35">
      <c r="A59" s="830"/>
      <c r="C59" s="55"/>
      <c r="D59" s="55"/>
      <c r="E59" s="55"/>
      <c r="F59" s="55"/>
      <c r="G59" s="55"/>
      <c r="H59" s="55"/>
    </row>
    <row r="60" spans="1:18" s="16" customFormat="1" ht="15.5" x14ac:dyDescent="0.35">
      <c r="A60" s="830"/>
      <c r="B60"/>
      <c r="C60" s="16" t="s">
        <v>65</v>
      </c>
      <c r="D60" s="110"/>
      <c r="E60" s="110"/>
      <c r="F60" s="113"/>
      <c r="G60" s="842">
        <f>IF(F19=1,SUM(F53,F56,F57),0)</f>
        <v>0</v>
      </c>
      <c r="H60" s="842"/>
      <c r="I60"/>
      <c r="J60" s="21"/>
      <c r="K60" s="106"/>
      <c r="L60" s="107"/>
      <c r="M60" s="107"/>
      <c r="N60" s="108"/>
      <c r="O60" s="108"/>
      <c r="P60" s="108"/>
      <c r="Q60" s="108"/>
      <c r="R60" s="108"/>
    </row>
    <row r="61" spans="1:18" x14ac:dyDescent="0.35">
      <c r="A61" s="830"/>
      <c r="C61" s="30" t="str">
        <f>IF(O15&lt;&gt;0,"ohne Höhenschichtenlinien (-10%):","")</f>
        <v/>
      </c>
      <c r="E61" s="28"/>
      <c r="F61" s="118" t="str">
        <f>IF(O15&lt;&gt;0,ROUND(O15,2),"")</f>
        <v/>
      </c>
    </row>
    <row r="62" spans="1:18" ht="15.5" x14ac:dyDescent="0.35">
      <c r="A62" s="830"/>
      <c r="B62" s="16"/>
      <c r="C62" s="30" t="str">
        <f>IF(O16&lt;&gt;0,"Höhenkoten nicht freistellen (-5%):","")</f>
        <v/>
      </c>
      <c r="E62" s="28"/>
      <c r="F62" s="118" t="str">
        <f>IF(O16&lt;&gt;0,ROUND(O16,2),"")</f>
        <v/>
      </c>
      <c r="I62" s="16"/>
    </row>
    <row r="63" spans="1:18" x14ac:dyDescent="0.35">
      <c r="A63" s="830"/>
    </row>
    <row r="64" spans="1:18" ht="15.5" x14ac:dyDescent="0.35">
      <c r="A64" s="830"/>
      <c r="F64" s="28"/>
      <c r="G64" s="841"/>
      <c r="H64" s="841"/>
    </row>
    <row r="65" spans="1:8" x14ac:dyDescent="0.35">
      <c r="A65" s="830"/>
      <c r="F65" s="17"/>
    </row>
    <row r="66" spans="1:8" x14ac:dyDescent="0.35">
      <c r="A66" s="830"/>
      <c r="G66" s="1"/>
    </row>
    <row r="67" spans="1:8" x14ac:dyDescent="0.35">
      <c r="A67" s="830"/>
      <c r="G67" s="1"/>
    </row>
    <row r="68" spans="1:8" x14ac:dyDescent="0.35">
      <c r="A68" s="830"/>
      <c r="C68" s="111"/>
      <c r="D68" s="111"/>
      <c r="E68" s="111"/>
      <c r="F68" s="111"/>
      <c r="G68" s="1"/>
    </row>
    <row r="69" spans="1:8" x14ac:dyDescent="0.35">
      <c r="G69" s="111"/>
      <c r="H69" s="112"/>
    </row>
  </sheetData>
  <mergeCells count="29">
    <mergeCell ref="G54:H54"/>
    <mergeCell ref="G60:H60"/>
    <mergeCell ref="G64:H64"/>
    <mergeCell ref="G19:H19"/>
    <mergeCell ref="A21:A68"/>
    <mergeCell ref="B22:I22"/>
    <mergeCell ref="B23:I23"/>
    <mergeCell ref="B24:I24"/>
    <mergeCell ref="B25:I25"/>
    <mergeCell ref="B27:I27"/>
    <mergeCell ref="A1:A20"/>
    <mergeCell ref="D2:H2"/>
    <mergeCell ref="D3:H3"/>
    <mergeCell ref="D42:F42"/>
    <mergeCell ref="D36:F36"/>
    <mergeCell ref="D6:F6"/>
    <mergeCell ref="D41:F41"/>
    <mergeCell ref="D12:F12"/>
    <mergeCell ref="D7:F7"/>
    <mergeCell ref="D8:F8"/>
    <mergeCell ref="D9:F9"/>
    <mergeCell ref="D10:F10"/>
    <mergeCell ref="D11:F11"/>
    <mergeCell ref="D37:F37"/>
    <mergeCell ref="D38:F38"/>
    <mergeCell ref="D39:F39"/>
    <mergeCell ref="D40:F40"/>
    <mergeCell ref="F16:G16"/>
    <mergeCell ref="F17:G17"/>
  </mergeCells>
  <dataValidations count="2">
    <dataValidation type="decimal" operator="greaterThan" showInputMessage="1" showErrorMessage="1" sqref="D16" xr:uid="{00000000-0002-0000-1600-000000000000}">
      <formula1>-1000</formula1>
    </dataValidation>
    <dataValidation type="decimal" operator="greaterThan" allowBlank="1" showInputMessage="1" showErrorMessage="1" sqref="D17" xr:uid="{00000000-0002-0000-1600-000001000000}">
      <formula1>-1000000</formula1>
    </dataValidation>
  </dataValidations>
  <pageMargins left="0.70866141732283472" right="0.39370078740157483" top="0.59055118110236227" bottom="0.59055118110236227" header="0.31496062992125984" footer="0.31496062992125984"/>
  <pageSetup paperSize="9" orientation="portrait" r:id="rId1"/>
  <headerFooter>
    <oddFooter>&amp;L&amp;9&amp;F, &amp;A&amp;R&amp;9&amp;D</oddFooter>
  </headerFooter>
  <ignoredErrors>
    <ignoredError sqref="F53" formula="1"/>
  </ignoredErrors>
  <drawing r:id="rId2"/>
  <legacyDrawing r:id="rId3"/>
  <legacyDrawingHF r:id="rId4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1600-000002000000}">
          <x14:formula1>
            <xm:f>Konstante!$D$158:$D$170</xm:f>
          </x14:formula1>
          <xm:sqref>D7:D12</xm:sqref>
        </x14:dataValidation>
        <x14:dataValidation type="list" allowBlank="1" showInputMessage="1" showErrorMessage="1" xr:uid="{00000000-0002-0000-1600-000003000000}">
          <x14:formula1>
            <xm:f>Konstante!$I$160:$I$162</xm:f>
          </x14:formula1>
          <xm:sqref>G7:G12</xm:sqref>
        </x14:dataValidation>
        <x14:dataValidation type="list" allowBlank="1" showInputMessage="1" showErrorMessage="1" xr:uid="{00000000-0002-0000-1600-000004000000}">
          <x14:formula1>
            <xm:f>Konstante!$I$166:$I$168</xm:f>
          </x14:formula1>
          <xm:sqref>H7:H12</xm:sqref>
        </x14:dataValidation>
      </x14:dataValidations>
    </ext>
  </extLst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25"/>
  <dimension ref="A1:U95"/>
  <sheetViews>
    <sheetView zoomScaleNormal="100" workbookViewId="0">
      <selection activeCell="C27" sqref="C27"/>
    </sheetView>
  </sheetViews>
  <sheetFormatPr baseColWidth="10" defaultColWidth="11.453125" defaultRowHeight="14.5" x14ac:dyDescent="0.35"/>
  <cols>
    <col min="1" max="1" width="4" customWidth="1"/>
    <col min="2" max="2" width="4.7265625" customWidth="1"/>
    <col min="3" max="3" width="5.7265625" customWidth="1"/>
    <col min="4" max="4" width="35.7265625" customWidth="1"/>
    <col min="5" max="7" width="8.453125" customWidth="1"/>
    <col min="8" max="8" width="11.453125" customWidth="1"/>
    <col min="9" max="9" width="4.26953125" customWidth="1"/>
  </cols>
  <sheetData>
    <row r="1" spans="1:21" ht="15.75" customHeight="1" x14ac:dyDescent="0.35">
      <c r="A1" s="833" t="s">
        <v>35</v>
      </c>
      <c r="B1" s="45"/>
      <c r="C1" s="45"/>
      <c r="D1" s="45"/>
      <c r="E1" s="45"/>
      <c r="F1" s="45"/>
      <c r="G1" s="45"/>
      <c r="H1" s="45"/>
      <c r="I1" s="45"/>
      <c r="K1" s="93" t="s">
        <v>699</v>
      </c>
      <c r="L1" s="93"/>
      <c r="M1" s="93"/>
      <c r="N1" s="94">
        <f ca="1">CELL("ZEILE",B60)</f>
        <v>60</v>
      </c>
    </row>
    <row r="2" spans="1:21" ht="23.5" x14ac:dyDescent="0.35">
      <c r="A2" s="833"/>
      <c r="B2" s="46"/>
      <c r="C2" s="864" t="s">
        <v>1149</v>
      </c>
      <c r="D2" s="865"/>
      <c r="E2" s="865"/>
      <c r="F2" s="865"/>
      <c r="G2" s="865"/>
      <c r="H2" s="866"/>
      <c r="I2" s="45"/>
      <c r="K2" s="175" t="s">
        <v>700</v>
      </c>
      <c r="L2" s="155"/>
      <c r="M2" s="155"/>
      <c r="N2" s="175">
        <f ca="1">CELL("ZEILE",G92)</f>
        <v>92</v>
      </c>
    </row>
    <row r="3" spans="1:21" ht="15.5" x14ac:dyDescent="0.35">
      <c r="A3" s="833"/>
      <c r="B3" s="330"/>
      <c r="C3" s="330"/>
      <c r="D3" s="330"/>
      <c r="E3" s="330"/>
      <c r="F3" s="330"/>
      <c r="G3" s="330"/>
      <c r="H3" s="330"/>
      <c r="I3" s="330"/>
      <c r="K3" s="175" t="s">
        <v>701</v>
      </c>
      <c r="L3" s="155"/>
      <c r="M3" s="155"/>
      <c r="N3" s="175">
        <f>E52</f>
        <v>0</v>
      </c>
    </row>
    <row r="4" spans="1:21" ht="16" thickBot="1" x14ac:dyDescent="0.4">
      <c r="A4" s="833"/>
      <c r="B4" s="330"/>
      <c r="C4" s="330" t="s">
        <v>600</v>
      </c>
      <c r="D4" s="330"/>
      <c r="E4" s="330"/>
      <c r="F4" s="330"/>
      <c r="G4" s="330" t="s">
        <v>599</v>
      </c>
      <c r="H4" s="330" t="s">
        <v>601</v>
      </c>
      <c r="I4" s="330"/>
    </row>
    <row r="5" spans="1:21" s="234" customFormat="1" ht="15" customHeight="1" thickBot="1" x14ac:dyDescent="0.35">
      <c r="A5" s="833"/>
      <c r="B5" s="242"/>
      <c r="C5" s="546" t="str">
        <f>'6.2'!C8:F8</f>
        <v>Messgehilfe</v>
      </c>
      <c r="D5" s="547"/>
      <c r="E5" s="547"/>
      <c r="F5" s="548"/>
      <c r="G5" s="429" t="str">
        <f>'6.2'!G8</f>
        <v>Geh.</v>
      </c>
      <c r="H5" s="431">
        <f>'6.2'!H8</f>
        <v>0</v>
      </c>
      <c r="I5" s="432"/>
    </row>
    <row r="6" spans="1:21" s="234" customFormat="1" ht="15" customHeight="1" thickBot="1" x14ac:dyDescent="0.4">
      <c r="A6" s="833"/>
      <c r="B6" s="242"/>
      <c r="C6" s="546" t="str">
        <f>'6.2'!C9:F9</f>
        <v>Schreibkraft</v>
      </c>
      <c r="D6" s="547"/>
      <c r="E6" s="547"/>
      <c r="F6" s="548"/>
      <c r="G6" s="429" t="str">
        <f>'6.2'!G9</f>
        <v>Sek.</v>
      </c>
      <c r="H6" s="431">
        <f>'6.2'!H9</f>
        <v>0</v>
      </c>
      <c r="I6" s="432"/>
      <c r="M6"/>
      <c r="N6"/>
      <c r="O6"/>
      <c r="P6"/>
    </row>
    <row r="7" spans="1:21" s="234" customFormat="1" ht="15" customHeight="1" thickBot="1" x14ac:dyDescent="0.4">
      <c r="A7" s="833"/>
      <c r="B7" s="242"/>
      <c r="C7" s="546" t="str">
        <f>'6.2'!C10:F10</f>
        <v>Techniker</v>
      </c>
      <c r="D7" s="547"/>
      <c r="E7" s="547"/>
      <c r="F7" s="548"/>
      <c r="G7" s="429" t="str">
        <f>'6.2'!G10</f>
        <v>Tech.</v>
      </c>
      <c r="H7" s="431">
        <f>'6.2'!H10</f>
        <v>0</v>
      </c>
      <c r="I7" s="432"/>
      <c r="M7"/>
      <c r="N7"/>
      <c r="O7"/>
      <c r="P7"/>
      <c r="R7" s="433"/>
      <c r="S7" s="433"/>
      <c r="T7" s="433"/>
      <c r="U7" s="433"/>
    </row>
    <row r="8" spans="1:21" s="234" customFormat="1" ht="15" customHeight="1" thickBot="1" x14ac:dyDescent="0.35">
      <c r="A8" s="833"/>
      <c r="B8" s="242"/>
      <c r="C8" s="546" t="str">
        <f>'6.2'!C11:F11</f>
        <v>Nachtzuschlag Techniker</v>
      </c>
      <c r="D8" s="547"/>
      <c r="E8" s="547"/>
      <c r="F8" s="548"/>
      <c r="G8" s="429" t="str">
        <f>'6.2'!G11</f>
        <v>NZ-Techn.</v>
      </c>
      <c r="H8" s="431">
        <f>'6.2'!H11</f>
        <v>0</v>
      </c>
      <c r="I8" s="432"/>
      <c r="R8" s="433"/>
      <c r="S8" s="433"/>
      <c r="T8" s="433"/>
      <c r="U8" s="433"/>
    </row>
    <row r="9" spans="1:21" s="234" customFormat="1" ht="15" customHeight="1" thickBot="1" x14ac:dyDescent="0.35">
      <c r="A9" s="833"/>
      <c r="B9" s="336"/>
      <c r="C9" s="546" t="str">
        <f>'6.2'!C12:F12</f>
        <v>CAD-Auswertestunde</v>
      </c>
      <c r="D9" s="547"/>
      <c r="E9" s="547"/>
      <c r="F9" s="548"/>
      <c r="G9" s="429" t="str">
        <f>'6.2'!G12</f>
        <v>CAD</v>
      </c>
      <c r="H9" s="431">
        <f>'6.2'!H12</f>
        <v>0</v>
      </c>
      <c r="I9" s="336"/>
      <c r="R9" s="433"/>
      <c r="S9" s="433"/>
      <c r="T9" s="433"/>
      <c r="U9" s="433"/>
    </row>
    <row r="10" spans="1:21" s="234" customFormat="1" ht="15" customHeight="1" thickBot="1" x14ac:dyDescent="0.35">
      <c r="A10" s="833"/>
      <c r="B10" s="336"/>
      <c r="C10" s="546" t="str">
        <f>'6.2'!C13:F13</f>
        <v>Ingenieur</v>
      </c>
      <c r="D10" s="547"/>
      <c r="E10" s="547"/>
      <c r="F10" s="548"/>
      <c r="G10" s="429" t="str">
        <f>'6.2'!G13</f>
        <v>Ing.</v>
      </c>
      <c r="H10" s="431">
        <f>'6.2'!H13</f>
        <v>0</v>
      </c>
      <c r="I10" s="336"/>
      <c r="O10" s="433"/>
      <c r="P10" s="433"/>
      <c r="R10" s="433"/>
      <c r="S10" s="433"/>
      <c r="T10" s="433"/>
      <c r="U10" s="433"/>
    </row>
    <row r="11" spans="1:21" s="234" customFormat="1" ht="15" customHeight="1" thickBot="1" x14ac:dyDescent="0.4">
      <c r="A11" s="833"/>
      <c r="B11" s="336"/>
      <c r="C11" s="546" t="str">
        <f>'6.2'!C14:F14</f>
        <v>Nachtzuschlag Ingenieur</v>
      </c>
      <c r="D11" s="547"/>
      <c r="E11" s="547"/>
      <c r="F11" s="548"/>
      <c r="G11" s="429" t="str">
        <f>'6.2'!G14</f>
        <v>NZ-Ing.</v>
      </c>
      <c r="H11" s="431">
        <f>'6.2'!H14</f>
        <v>0</v>
      </c>
      <c r="I11" s="336"/>
      <c r="K11" s="288"/>
      <c r="L11"/>
      <c r="O11" s="433"/>
      <c r="P11" s="433"/>
      <c r="R11" s="433"/>
      <c r="S11" s="433"/>
      <c r="T11" s="433"/>
      <c r="U11" s="433"/>
    </row>
    <row r="12" spans="1:21" s="234" customFormat="1" ht="15" customHeight="1" thickBot="1" x14ac:dyDescent="0.4">
      <c r="A12" s="833"/>
      <c r="B12" s="336"/>
      <c r="C12" s="546" t="str">
        <f>'6.2'!C15:F15</f>
        <v>qualifizierter Ingenieur</v>
      </c>
      <c r="D12" s="547"/>
      <c r="E12" s="547"/>
      <c r="F12" s="548"/>
      <c r="G12" s="429" t="str">
        <f>'6.2'!G15</f>
        <v>qu.Ing.</v>
      </c>
      <c r="H12" s="431">
        <f>'6.2'!H15</f>
        <v>0</v>
      </c>
      <c r="I12" s="336"/>
      <c r="K12"/>
      <c r="L12"/>
      <c r="O12" s="433"/>
      <c r="P12" s="433"/>
      <c r="R12" s="433"/>
      <c r="S12" s="433"/>
      <c r="T12" s="433"/>
      <c r="U12" s="433"/>
    </row>
    <row r="13" spans="1:21" s="234" customFormat="1" ht="15" customHeight="1" thickBot="1" x14ac:dyDescent="0.4">
      <c r="A13" s="833"/>
      <c r="B13" s="336"/>
      <c r="C13" s="546" t="str">
        <f>'6.2'!C16:F16</f>
        <v>Ziviltechnikerleistung</v>
      </c>
      <c r="D13" s="547"/>
      <c r="E13" s="547"/>
      <c r="F13" s="548"/>
      <c r="G13" s="429" t="str">
        <f>'6.2'!G16</f>
        <v>ZT</v>
      </c>
      <c r="H13" s="431">
        <f>'6.2'!H16</f>
        <v>0</v>
      </c>
      <c r="I13" s="336"/>
      <c r="L13" s="471"/>
      <c r="O13" s="433"/>
      <c r="P13" s="433"/>
      <c r="R13" s="433"/>
      <c r="S13" s="433"/>
      <c r="T13" s="433"/>
      <c r="U13" s="433"/>
    </row>
    <row r="14" spans="1:21" s="234" customFormat="1" ht="15" customHeight="1" thickBot="1" x14ac:dyDescent="0.4">
      <c r="A14" s="833"/>
      <c r="B14" s="336"/>
      <c r="C14" s="546" t="str">
        <f>'6.2'!C17:F17</f>
        <v>1-Personen-Partie inkl. Gerät</v>
      </c>
      <c r="D14" s="547"/>
      <c r="E14" s="547"/>
      <c r="F14" s="548"/>
      <c r="G14" s="429" t="str">
        <f>'6.2'!G17</f>
        <v>1MP</v>
      </c>
      <c r="H14" s="431">
        <f>'6.2'!H17</f>
        <v>0</v>
      </c>
      <c r="I14" s="336"/>
      <c r="L14"/>
      <c r="O14" s="433"/>
      <c r="P14" s="433"/>
      <c r="Q14" s="433"/>
      <c r="R14" s="433"/>
      <c r="S14" s="433"/>
      <c r="T14" s="433"/>
      <c r="U14" s="433"/>
    </row>
    <row r="15" spans="1:21" s="234" customFormat="1" ht="15" customHeight="1" thickBot="1" x14ac:dyDescent="0.35">
      <c r="A15" s="833"/>
      <c r="B15" s="336"/>
      <c r="C15" s="546" t="str">
        <f>'6.2'!C18:F18</f>
        <v>2-Personen-Partie inkl. Gerät</v>
      </c>
      <c r="D15" s="547"/>
      <c r="E15" s="547"/>
      <c r="F15" s="548"/>
      <c r="G15" s="429" t="str">
        <f>'6.2'!G18</f>
        <v>2MP</v>
      </c>
      <c r="H15" s="431">
        <f>'6.2'!H18</f>
        <v>0</v>
      </c>
      <c r="I15" s="336"/>
      <c r="L15" s="434"/>
      <c r="O15" s="433"/>
      <c r="P15" s="433"/>
      <c r="Q15" s="433"/>
      <c r="R15" s="433"/>
      <c r="S15" s="433"/>
      <c r="T15" s="433"/>
      <c r="U15" s="433"/>
    </row>
    <row r="16" spans="1:21" s="234" customFormat="1" ht="15" customHeight="1" thickBot="1" x14ac:dyDescent="0.4">
      <c r="A16" s="833"/>
      <c r="B16" s="336"/>
      <c r="C16" s="546" t="str">
        <f>'6.2'!C19:F19</f>
        <v>Nachtzuschlag 1-Personen-Partie</v>
      </c>
      <c r="D16" s="547"/>
      <c r="E16" s="547"/>
      <c r="F16" s="548"/>
      <c r="G16" s="429" t="str">
        <f>'6.2'!G19</f>
        <v>NZ-1MP</v>
      </c>
      <c r="H16" s="431">
        <f>'6.2'!H19</f>
        <v>0</v>
      </c>
      <c r="I16" s="336"/>
      <c r="K16" s="288"/>
      <c r="L16" s="434"/>
      <c r="M16" s="433"/>
      <c r="N16" s="433"/>
      <c r="O16" s="433"/>
      <c r="P16" s="433"/>
      <c r="Q16" s="433"/>
      <c r="R16" s="433"/>
      <c r="S16" s="433"/>
      <c r="T16" s="433"/>
      <c r="U16" s="433"/>
    </row>
    <row r="17" spans="1:21" s="234" customFormat="1" ht="15" customHeight="1" thickBot="1" x14ac:dyDescent="0.4">
      <c r="A17" s="833"/>
      <c r="B17" s="336"/>
      <c r="C17" s="546" t="str">
        <f>'6.2'!C20:F20</f>
        <v>Nachtzuschlag 2-Personen-Partie</v>
      </c>
      <c r="D17" s="547"/>
      <c r="E17" s="547"/>
      <c r="F17" s="548"/>
      <c r="G17" s="429" t="str">
        <f>'6.2'!G20</f>
        <v>NZ-2MP</v>
      </c>
      <c r="H17" s="431">
        <f>'6.2'!H20</f>
        <v>0</v>
      </c>
      <c r="I17" s="336"/>
      <c r="L17"/>
      <c r="O17" s="433"/>
      <c r="P17" s="433"/>
      <c r="Q17" s="433"/>
      <c r="R17" s="433"/>
      <c r="S17" s="433"/>
      <c r="T17" s="433"/>
      <c r="U17" s="433"/>
    </row>
    <row r="18" spans="1:21" s="234" customFormat="1" ht="15" customHeight="1" thickBot="1" x14ac:dyDescent="0.4">
      <c r="A18" s="833"/>
      <c r="B18" s="336"/>
      <c r="C18" s="546" t="str">
        <f>'6.2'!C21:F21</f>
        <v>Einsatzpauschale (20km An/Abfahrt) - 1MP</v>
      </c>
      <c r="D18" s="547"/>
      <c r="E18" s="547"/>
      <c r="F18" s="548"/>
      <c r="G18" s="429" t="str">
        <f>'6.2'!G21</f>
        <v>Eins-1MP</v>
      </c>
      <c r="H18" s="431">
        <f>'6.2'!H21</f>
        <v>13</v>
      </c>
      <c r="I18" s="336"/>
      <c r="L18"/>
      <c r="M18" s="433"/>
      <c r="N18" s="433"/>
      <c r="O18" s="433"/>
      <c r="P18" s="433"/>
      <c r="Q18" s="433"/>
      <c r="R18" s="433"/>
      <c r="S18" s="433"/>
      <c r="T18" s="433"/>
      <c r="U18" s="433"/>
    </row>
    <row r="19" spans="1:21" s="234" customFormat="1" ht="15" customHeight="1" thickBot="1" x14ac:dyDescent="0.4">
      <c r="A19" s="833"/>
      <c r="B19" s="336"/>
      <c r="C19" s="546" t="str">
        <f>'6.2'!C22:F22</f>
        <v>Einsatzpauschale (20km An/Abfahrt) - 2MP</v>
      </c>
      <c r="D19" s="547"/>
      <c r="E19" s="547"/>
      <c r="F19" s="548"/>
      <c r="G19" s="429" t="str">
        <f>'6.2'!G22</f>
        <v>Eins-2MP</v>
      </c>
      <c r="H19" s="431">
        <f>'6.2'!H22</f>
        <v>13</v>
      </c>
      <c r="I19" s="336"/>
      <c r="L19"/>
      <c r="M19"/>
      <c r="N19" s="433"/>
      <c r="O19" s="433"/>
      <c r="P19" s="433"/>
      <c r="Q19" s="433"/>
      <c r="R19" s="433"/>
      <c r="S19" s="433"/>
      <c r="T19" s="433"/>
      <c r="U19" s="433"/>
    </row>
    <row r="20" spans="1:21" s="234" customFormat="1" ht="15" customHeight="1" thickBot="1" x14ac:dyDescent="0.4">
      <c r="A20" s="833"/>
      <c r="B20" s="336"/>
      <c r="C20" s="546" t="str">
        <f>'6.2'!C23:F23</f>
        <v>Instrument (Messgerät) oder CAD-Ausrüstung</v>
      </c>
      <c r="D20" s="547"/>
      <c r="E20" s="547"/>
      <c r="F20" s="548"/>
      <c r="G20" s="429" t="str">
        <f>'6.2'!G23</f>
        <v>Instr/CAD</v>
      </c>
      <c r="H20" s="431">
        <f>'6.2'!H23</f>
        <v>0</v>
      </c>
      <c r="I20" s="336"/>
      <c r="L20"/>
      <c r="M20"/>
      <c r="N20" s="433"/>
      <c r="O20" s="433"/>
      <c r="P20" s="433"/>
      <c r="Q20" s="433"/>
      <c r="R20" s="433"/>
      <c r="S20" s="433"/>
      <c r="T20" s="433"/>
      <c r="U20" s="433"/>
    </row>
    <row r="21" spans="1:21" s="234" customFormat="1" ht="15" customHeight="1" thickBot="1" x14ac:dyDescent="0.4">
      <c r="A21" s="833"/>
      <c r="B21" s="336"/>
      <c r="C21" s="546" t="str">
        <f>'6.2'!C24:F24</f>
        <v>Aufschlag für höherwertiges Instrument</v>
      </c>
      <c r="D21" s="547"/>
      <c r="E21" s="547"/>
      <c r="F21" s="548"/>
      <c r="G21" s="429" t="str">
        <f>'6.2'!G24</f>
        <v>Instr+</v>
      </c>
      <c r="H21" s="431">
        <f>'6.2'!H24</f>
        <v>0</v>
      </c>
      <c r="I21" s="336"/>
      <c r="L21"/>
      <c r="M21"/>
      <c r="N21" s="433"/>
      <c r="O21" s="433"/>
      <c r="P21" s="433"/>
      <c r="Q21" s="433"/>
      <c r="R21" s="433"/>
      <c r="S21" s="433"/>
      <c r="T21" s="433"/>
      <c r="U21" s="433"/>
    </row>
    <row r="22" spans="1:21" s="234" customFormat="1" ht="15" customHeight="1" thickBot="1" x14ac:dyDescent="0.4">
      <c r="A22" s="833"/>
      <c r="B22" s="336"/>
      <c r="C22" s="546" t="str">
        <f>'6.2'!C25:F25</f>
        <v>Fahrtkosten Auto</v>
      </c>
      <c r="D22" s="547"/>
      <c r="E22" s="547"/>
      <c r="F22" s="548"/>
      <c r="G22" s="429" t="str">
        <f>'6.2'!G25</f>
        <v>km-Auto</v>
      </c>
      <c r="H22" s="431">
        <f>'6.2'!H25</f>
        <v>0.5</v>
      </c>
      <c r="I22" s="336"/>
      <c r="L22"/>
      <c r="M22"/>
      <c r="N22" s="433"/>
      <c r="O22" s="433"/>
      <c r="P22" s="433"/>
      <c r="Q22" s="433"/>
      <c r="R22" s="433"/>
      <c r="S22" s="433"/>
      <c r="T22" s="433"/>
      <c r="U22" s="433"/>
    </row>
    <row r="23" spans="1:21" s="234" customFormat="1" ht="15" customHeight="1" thickBot="1" x14ac:dyDescent="0.4">
      <c r="A23" s="833"/>
      <c r="B23" s="336"/>
      <c r="C23" s="546" t="str">
        <f>'6.2'!C26:F26</f>
        <v>Fahrtkosten Messfahrzeug inkl. Instrumentenausstattung</v>
      </c>
      <c r="D23" s="547"/>
      <c r="E23" s="547"/>
      <c r="F23" s="548"/>
      <c r="G23" s="429" t="str">
        <f>'6.2'!G26</f>
        <v>km-Bus</v>
      </c>
      <c r="H23" s="431">
        <f>'6.2'!H26</f>
        <v>0.65</v>
      </c>
      <c r="I23" s="336"/>
      <c r="L23"/>
      <c r="M23"/>
      <c r="N23" s="433"/>
      <c r="O23" s="433"/>
      <c r="P23" s="433"/>
      <c r="Q23" s="433"/>
      <c r="R23" s="433"/>
      <c r="S23" s="433"/>
      <c r="T23" s="433"/>
      <c r="U23" s="433"/>
    </row>
    <row r="24" spans="1:21" s="234" customFormat="1" ht="15" customHeight="1" thickBot="1" x14ac:dyDescent="0.4">
      <c r="A24" s="833"/>
      <c r="B24" s="336"/>
      <c r="C24" s="546" t="str">
        <f>'6.2'!C27:F27</f>
        <v>Barauslagen</v>
      </c>
      <c r="D24" s="547"/>
      <c r="E24" s="547"/>
      <c r="F24" s="548"/>
      <c r="G24" s="429" t="str">
        <f>'6.2'!G27</f>
        <v>Bar</v>
      </c>
      <c r="H24" s="431">
        <f>'6.2'!H27</f>
        <v>1</v>
      </c>
      <c r="I24" s="336"/>
      <c r="L24"/>
      <c r="M24"/>
      <c r="N24" s="433"/>
      <c r="O24" s="433"/>
      <c r="P24" s="433"/>
      <c r="Q24" s="433"/>
      <c r="R24" s="433"/>
      <c r="S24" s="433"/>
      <c r="T24" s="433"/>
      <c r="U24" s="433"/>
    </row>
    <row r="25" spans="1:21" s="234" customFormat="1" ht="15" customHeight="1" x14ac:dyDescent="0.35">
      <c r="A25" s="833"/>
      <c r="B25" s="336"/>
      <c r="C25" s="336"/>
      <c r="D25" s="336"/>
      <c r="E25" s="336"/>
      <c r="F25" s="336"/>
      <c r="G25" s="336"/>
      <c r="H25" s="336"/>
      <c r="I25" s="336"/>
      <c r="K25" s="288"/>
      <c r="L25"/>
      <c r="M25"/>
      <c r="N25" s="433"/>
      <c r="O25" s="433"/>
      <c r="P25" s="433"/>
      <c r="Q25" s="433"/>
      <c r="R25" s="433"/>
      <c r="S25" s="433"/>
      <c r="T25" s="433"/>
      <c r="U25" s="433"/>
    </row>
    <row r="26" spans="1:21" s="234" customFormat="1" ht="15" customHeight="1" thickBot="1" x14ac:dyDescent="0.4">
      <c r="A26" s="833"/>
      <c r="B26" s="336"/>
      <c r="C26" s="336" t="s">
        <v>618</v>
      </c>
      <c r="D26" s="336" t="s">
        <v>619</v>
      </c>
      <c r="E26" s="437" t="s">
        <v>617</v>
      </c>
      <c r="F26" s="437" t="s">
        <v>620</v>
      </c>
      <c r="G26" s="437" t="s">
        <v>601</v>
      </c>
      <c r="H26" s="437" t="s">
        <v>616</v>
      </c>
      <c r="I26" s="336"/>
      <c r="K26" s="433"/>
      <c r="L26"/>
      <c r="M26"/>
      <c r="N26" s="433"/>
      <c r="O26" s="433"/>
      <c r="P26" s="433"/>
    </row>
    <row r="27" spans="1:21" ht="16" thickBot="1" x14ac:dyDescent="0.4">
      <c r="A27" s="833"/>
      <c r="B27" s="63"/>
      <c r="C27" s="445"/>
      <c r="D27" s="449"/>
      <c r="E27" s="430"/>
      <c r="F27" s="430"/>
      <c r="G27" s="448" t="str">
        <f>IF(E27&lt;&gt;"",VLOOKUP(E27,G$5:H$18,2,FALSE),"")</f>
        <v/>
      </c>
      <c r="H27" s="448" t="str">
        <f t="shared" ref="H27:H46" si="0">IF(AND(E27&lt;&gt;"",F27&lt;&gt;"",F27&gt;0),F27*G27,"")</f>
        <v/>
      </c>
      <c r="I27" s="64"/>
      <c r="K27" s="254"/>
      <c r="L27" s="254"/>
      <c r="N27" s="254"/>
      <c r="O27" s="254"/>
      <c r="P27" s="254"/>
    </row>
    <row r="28" spans="1:21" ht="16" thickBot="1" x14ac:dyDescent="0.4">
      <c r="A28" s="833"/>
      <c r="B28" s="330"/>
      <c r="C28" s="445"/>
      <c r="D28" s="449"/>
      <c r="E28" s="430"/>
      <c r="F28" s="430"/>
      <c r="G28" s="448" t="str">
        <f t="shared" ref="G28:G46" si="1">IF(E28&lt;&gt;"",VLOOKUP(E28,G$5:H$18,2,FALSE),"")</f>
        <v/>
      </c>
      <c r="H28" s="448" t="str">
        <f t="shared" si="0"/>
        <v/>
      </c>
      <c r="I28" s="330"/>
      <c r="K28" s="254"/>
      <c r="L28" s="254"/>
      <c r="N28" s="254"/>
      <c r="O28" s="254"/>
      <c r="P28" s="254"/>
    </row>
    <row r="29" spans="1:21" ht="16" thickBot="1" x14ac:dyDescent="0.4">
      <c r="A29" s="833"/>
      <c r="B29" s="330"/>
      <c r="C29" s="445"/>
      <c r="D29" s="449"/>
      <c r="E29" s="430"/>
      <c r="F29" s="430"/>
      <c r="G29" s="448" t="str">
        <f t="shared" si="1"/>
        <v/>
      </c>
      <c r="H29" s="448" t="str">
        <f t="shared" si="0"/>
        <v/>
      </c>
      <c r="I29" s="330"/>
      <c r="K29" s="254"/>
      <c r="L29" s="254"/>
      <c r="M29" s="332"/>
      <c r="N29" s="254"/>
      <c r="O29" s="254"/>
      <c r="P29" s="254"/>
    </row>
    <row r="30" spans="1:21" ht="16" thickBot="1" x14ac:dyDescent="0.4">
      <c r="A30" s="833"/>
      <c r="B30" s="330"/>
      <c r="C30" s="445"/>
      <c r="D30" s="449"/>
      <c r="E30" s="430"/>
      <c r="F30" s="430"/>
      <c r="G30" s="448" t="str">
        <f t="shared" si="1"/>
        <v/>
      </c>
      <c r="H30" s="448" t="str">
        <f t="shared" si="0"/>
        <v/>
      </c>
      <c r="I30" s="330"/>
      <c r="K30" s="254"/>
      <c r="L30" s="472"/>
      <c r="M30" s="332"/>
      <c r="N30" s="254"/>
      <c r="O30" s="254"/>
      <c r="P30" s="254"/>
    </row>
    <row r="31" spans="1:21" ht="16" thickBot="1" x14ac:dyDescent="0.4">
      <c r="A31" s="833"/>
      <c r="B31" s="330"/>
      <c r="C31" s="445"/>
      <c r="D31" s="449"/>
      <c r="E31" s="430"/>
      <c r="F31" s="430"/>
      <c r="G31" s="448" t="str">
        <f t="shared" si="1"/>
        <v/>
      </c>
      <c r="H31" s="448" t="str">
        <f t="shared" si="0"/>
        <v/>
      </c>
      <c r="I31" s="330"/>
      <c r="K31" s="254"/>
      <c r="L31" s="254"/>
      <c r="M31" s="332"/>
      <c r="N31" s="254"/>
      <c r="O31" s="254"/>
      <c r="P31" s="254"/>
    </row>
    <row r="32" spans="1:21" ht="16" thickBot="1" x14ac:dyDescent="0.4">
      <c r="A32" s="833"/>
      <c r="B32" s="330"/>
      <c r="C32" s="445"/>
      <c r="D32" s="449"/>
      <c r="E32" s="430"/>
      <c r="F32" s="430"/>
      <c r="G32" s="448" t="str">
        <f t="shared" si="1"/>
        <v/>
      </c>
      <c r="H32" s="448" t="str">
        <f t="shared" si="0"/>
        <v/>
      </c>
      <c r="I32" s="330"/>
      <c r="K32" s="254"/>
      <c r="L32" s="254"/>
      <c r="M32" s="332"/>
      <c r="N32" s="254"/>
      <c r="O32" s="254"/>
      <c r="P32" s="254"/>
    </row>
    <row r="33" spans="1:16" ht="16" thickBot="1" x14ac:dyDescent="0.4">
      <c r="A33" s="833"/>
      <c r="B33" s="330"/>
      <c r="C33" s="445"/>
      <c r="D33" s="449"/>
      <c r="E33" s="430"/>
      <c r="F33" s="430"/>
      <c r="G33" s="448" t="str">
        <f t="shared" si="1"/>
        <v/>
      </c>
      <c r="H33" s="448" t="str">
        <f t="shared" si="0"/>
        <v/>
      </c>
      <c r="I33" s="330"/>
      <c r="K33" s="254"/>
      <c r="L33" s="254"/>
      <c r="M33" s="332"/>
      <c r="N33" s="254"/>
      <c r="O33" s="254"/>
      <c r="P33" s="254"/>
    </row>
    <row r="34" spans="1:16" ht="16" thickBot="1" x14ac:dyDescent="0.4">
      <c r="A34" s="833"/>
      <c r="B34" s="330"/>
      <c r="C34" s="445"/>
      <c r="D34" s="449"/>
      <c r="E34" s="430"/>
      <c r="F34" s="430"/>
      <c r="G34" s="448" t="str">
        <f t="shared" si="1"/>
        <v/>
      </c>
      <c r="H34" s="448" t="str">
        <f t="shared" si="0"/>
        <v/>
      </c>
      <c r="I34" s="330"/>
      <c r="K34" s="254"/>
      <c r="L34" s="254"/>
      <c r="M34" s="332"/>
      <c r="N34" s="254"/>
      <c r="O34" s="254"/>
      <c r="P34" s="254"/>
    </row>
    <row r="35" spans="1:16" ht="16" thickBot="1" x14ac:dyDescent="0.4">
      <c r="A35" s="833"/>
      <c r="B35" s="330"/>
      <c r="C35" s="445"/>
      <c r="D35" s="449"/>
      <c r="E35" s="430"/>
      <c r="F35" s="430"/>
      <c r="G35" s="448" t="str">
        <f t="shared" si="1"/>
        <v/>
      </c>
      <c r="H35" s="448" t="str">
        <f t="shared" si="0"/>
        <v/>
      </c>
      <c r="I35" s="330"/>
      <c r="K35" s="254"/>
      <c r="L35" s="254"/>
      <c r="M35" s="332"/>
      <c r="N35" s="254"/>
      <c r="O35" s="254"/>
      <c r="P35" s="254"/>
    </row>
    <row r="36" spans="1:16" ht="16" thickBot="1" x14ac:dyDescent="0.4">
      <c r="A36" s="833"/>
      <c r="B36" s="330"/>
      <c r="C36" s="445"/>
      <c r="D36" s="449"/>
      <c r="E36" s="430"/>
      <c r="F36" s="430"/>
      <c r="G36" s="448" t="str">
        <f t="shared" si="1"/>
        <v/>
      </c>
      <c r="H36" s="448" t="str">
        <f t="shared" si="0"/>
        <v/>
      </c>
      <c r="I36" s="330"/>
      <c r="K36" s="254"/>
      <c r="L36" s="254"/>
      <c r="M36" s="332"/>
      <c r="N36" s="254"/>
      <c r="O36" s="254"/>
      <c r="P36" s="254"/>
    </row>
    <row r="37" spans="1:16" ht="16" thickBot="1" x14ac:dyDescent="0.4">
      <c r="A37" s="833"/>
      <c r="B37" s="330"/>
      <c r="C37" s="445"/>
      <c r="D37" s="449"/>
      <c r="E37" s="430"/>
      <c r="F37" s="430"/>
      <c r="G37" s="448" t="str">
        <f t="shared" si="1"/>
        <v/>
      </c>
      <c r="H37" s="448" t="str">
        <f t="shared" si="0"/>
        <v/>
      </c>
      <c r="I37" s="330"/>
      <c r="K37" s="254"/>
      <c r="L37" s="254"/>
      <c r="M37" s="332"/>
      <c r="N37" s="254"/>
      <c r="O37" s="254"/>
      <c r="P37" s="254"/>
    </row>
    <row r="38" spans="1:16" ht="16" thickBot="1" x14ac:dyDescent="0.4">
      <c r="A38" s="833"/>
      <c r="B38" s="330"/>
      <c r="C38" s="445"/>
      <c r="D38" s="449"/>
      <c r="E38" s="430"/>
      <c r="F38" s="430"/>
      <c r="G38" s="448" t="str">
        <f t="shared" si="1"/>
        <v/>
      </c>
      <c r="H38" s="448" t="str">
        <f t="shared" si="0"/>
        <v/>
      </c>
      <c r="I38" s="330"/>
      <c r="K38" s="254"/>
      <c r="L38" s="254"/>
      <c r="M38" s="332"/>
      <c r="N38" s="254"/>
      <c r="O38" s="254"/>
      <c r="P38" s="254"/>
    </row>
    <row r="39" spans="1:16" ht="16" thickBot="1" x14ac:dyDescent="0.4">
      <c r="A39" s="833"/>
      <c r="B39" s="330"/>
      <c r="C39" s="445"/>
      <c r="D39" s="449"/>
      <c r="E39" s="430"/>
      <c r="F39" s="430"/>
      <c r="G39" s="448" t="str">
        <f t="shared" si="1"/>
        <v/>
      </c>
      <c r="H39" s="448" t="str">
        <f t="shared" si="0"/>
        <v/>
      </c>
      <c r="I39" s="330"/>
      <c r="K39" s="254"/>
      <c r="L39" s="254"/>
      <c r="M39" s="332"/>
      <c r="N39" s="254"/>
      <c r="O39" s="254"/>
      <c r="P39" s="254"/>
    </row>
    <row r="40" spans="1:16" ht="16" thickBot="1" x14ac:dyDescent="0.4">
      <c r="A40" s="833"/>
      <c r="B40" s="330"/>
      <c r="C40" s="445"/>
      <c r="D40" s="449"/>
      <c r="E40" s="430"/>
      <c r="F40" s="430"/>
      <c r="G40" s="448" t="str">
        <f t="shared" si="1"/>
        <v/>
      </c>
      <c r="H40" s="448" t="str">
        <f t="shared" si="0"/>
        <v/>
      </c>
      <c r="I40" s="330"/>
      <c r="K40" s="254"/>
      <c r="L40" s="254"/>
      <c r="M40" s="332"/>
      <c r="N40" s="254"/>
      <c r="O40" s="254"/>
      <c r="P40" s="254"/>
    </row>
    <row r="41" spans="1:16" ht="16" thickBot="1" x14ac:dyDescent="0.4">
      <c r="A41" s="833"/>
      <c r="B41" s="330"/>
      <c r="C41" s="445"/>
      <c r="D41" s="449"/>
      <c r="E41" s="430"/>
      <c r="F41" s="430"/>
      <c r="G41" s="448" t="str">
        <f t="shared" si="1"/>
        <v/>
      </c>
      <c r="H41" s="448" t="str">
        <f t="shared" si="0"/>
        <v/>
      </c>
      <c r="I41" s="330"/>
      <c r="K41" s="254"/>
      <c r="L41" s="254"/>
      <c r="M41" s="332"/>
      <c r="N41" s="254"/>
      <c r="O41" s="254"/>
      <c r="P41" s="254"/>
    </row>
    <row r="42" spans="1:16" ht="16" thickBot="1" x14ac:dyDescent="0.4">
      <c r="A42" s="833"/>
      <c r="B42" s="330"/>
      <c r="C42" s="445"/>
      <c r="D42" s="449"/>
      <c r="E42" s="430"/>
      <c r="F42" s="430"/>
      <c r="G42" s="448" t="str">
        <f t="shared" si="1"/>
        <v/>
      </c>
      <c r="H42" s="448" t="str">
        <f t="shared" si="0"/>
        <v/>
      </c>
      <c r="I42" s="330"/>
      <c r="K42" s="254"/>
      <c r="L42" s="254"/>
      <c r="M42" s="332"/>
      <c r="N42" s="254"/>
      <c r="O42" s="254"/>
      <c r="P42" s="254"/>
    </row>
    <row r="43" spans="1:16" ht="16" thickBot="1" x14ac:dyDescent="0.4">
      <c r="A43" s="833"/>
      <c r="B43" s="330"/>
      <c r="C43" s="445"/>
      <c r="D43" s="449"/>
      <c r="E43" s="430"/>
      <c r="F43" s="430"/>
      <c r="G43" s="448" t="str">
        <f t="shared" si="1"/>
        <v/>
      </c>
      <c r="H43" s="448" t="str">
        <f t="shared" si="0"/>
        <v/>
      </c>
      <c r="I43" s="330"/>
      <c r="K43" s="254"/>
      <c r="L43" s="254"/>
      <c r="M43" s="332"/>
      <c r="N43" s="254"/>
      <c r="O43" s="254"/>
      <c r="P43" s="254"/>
    </row>
    <row r="44" spans="1:16" ht="16" thickBot="1" x14ac:dyDescent="0.4">
      <c r="A44" s="833"/>
      <c r="B44" s="330"/>
      <c r="C44" s="445"/>
      <c r="D44" s="449"/>
      <c r="E44" s="430"/>
      <c r="F44" s="430"/>
      <c r="G44" s="448" t="str">
        <f t="shared" si="1"/>
        <v/>
      </c>
      <c r="H44" s="448" t="str">
        <f t="shared" si="0"/>
        <v/>
      </c>
      <c r="I44" s="330"/>
      <c r="K44" s="254"/>
      <c r="L44" s="254"/>
      <c r="M44" s="332"/>
      <c r="N44" s="254"/>
      <c r="O44" s="254"/>
      <c r="P44" s="254"/>
    </row>
    <row r="45" spans="1:16" ht="16" thickBot="1" x14ac:dyDescent="0.4">
      <c r="A45" s="833"/>
      <c r="B45" s="330"/>
      <c r="C45" s="445"/>
      <c r="D45" s="449"/>
      <c r="E45" s="430"/>
      <c r="F45" s="430"/>
      <c r="G45" s="448" t="str">
        <f t="shared" si="1"/>
        <v/>
      </c>
      <c r="H45" s="448" t="str">
        <f t="shared" si="0"/>
        <v/>
      </c>
      <c r="I45" s="330"/>
      <c r="K45" s="254"/>
      <c r="L45" s="254"/>
      <c r="M45" s="332"/>
      <c r="N45" s="254"/>
      <c r="O45" s="254"/>
      <c r="P45" s="254"/>
    </row>
    <row r="46" spans="1:16" ht="16" thickBot="1" x14ac:dyDescent="0.4">
      <c r="A46" s="833"/>
      <c r="B46" s="330"/>
      <c r="C46" s="445"/>
      <c r="D46" s="449"/>
      <c r="E46" s="430"/>
      <c r="F46" s="430"/>
      <c r="G46" s="448" t="str">
        <f t="shared" si="1"/>
        <v/>
      </c>
      <c r="H46" s="448" t="str">
        <f t="shared" si="0"/>
        <v/>
      </c>
      <c r="I46" s="330"/>
      <c r="K46" s="254"/>
      <c r="L46" s="254"/>
      <c r="M46" s="332"/>
      <c r="N46" s="254"/>
      <c r="O46" s="254"/>
      <c r="P46" s="254"/>
    </row>
    <row r="47" spans="1:16" ht="16" thickBot="1" x14ac:dyDescent="0.4">
      <c r="A47" s="833"/>
      <c r="B47" s="330"/>
      <c r="C47" s="330"/>
      <c r="D47" s="330"/>
      <c r="E47" s="330"/>
      <c r="F47" s="330"/>
      <c r="G47" s="330"/>
      <c r="H47" s="450" t="str">
        <f>IF(VSK&lt;&gt;0, SUM(H27:H46),"")</f>
        <v/>
      </c>
      <c r="I47" s="330"/>
      <c r="K47" s="254"/>
      <c r="L47" s="254"/>
      <c r="M47" s="332"/>
      <c r="N47" s="254"/>
      <c r="O47" s="254"/>
      <c r="P47" s="254"/>
    </row>
    <row r="48" spans="1:16" ht="15.5" x14ac:dyDescent="0.35">
      <c r="A48" s="833"/>
      <c r="B48" s="46"/>
      <c r="C48" s="317"/>
      <c r="D48" s="318"/>
      <c r="E48" s="317"/>
      <c r="F48" s="592" t="s">
        <v>633</v>
      </c>
      <c r="G48" s="317"/>
      <c r="H48" s="319"/>
      <c r="I48" s="47"/>
      <c r="K48" s="254"/>
      <c r="L48" s="254"/>
      <c r="M48" s="332"/>
      <c r="N48" s="254"/>
      <c r="O48" s="254"/>
      <c r="P48" s="254"/>
    </row>
    <row r="49" spans="1:16" ht="15.5" x14ac:dyDescent="0.35">
      <c r="A49" s="833"/>
      <c r="B49" s="46"/>
      <c r="C49" s="47" t="s">
        <v>34</v>
      </c>
      <c r="D49" s="47"/>
      <c r="E49" s="320"/>
      <c r="F49" s="899"/>
      <c r="G49" s="900"/>
      <c r="H49" s="901"/>
      <c r="I49" s="47"/>
      <c r="K49" s="254"/>
      <c r="L49" s="254"/>
      <c r="M49" s="254"/>
      <c r="N49" s="254"/>
      <c r="O49" s="254"/>
      <c r="P49" s="254"/>
    </row>
    <row r="50" spans="1:16" ht="15.5" x14ac:dyDescent="0.35">
      <c r="A50" s="833"/>
      <c r="B50" s="46"/>
      <c r="C50" s="47" t="s">
        <v>722</v>
      </c>
      <c r="D50" s="47"/>
      <c r="E50" s="604"/>
      <c r="F50" s="868"/>
      <c r="G50" s="895"/>
      <c r="H50" s="869"/>
      <c r="I50" s="47"/>
    </row>
    <row r="51" spans="1:16" ht="15.5" x14ac:dyDescent="0.35">
      <c r="A51" s="833"/>
      <c r="B51" s="46"/>
      <c r="C51" s="47"/>
      <c r="D51" s="47"/>
      <c r="E51" s="53"/>
      <c r="F51" s="47"/>
      <c r="G51" s="46"/>
      <c r="H51" s="46"/>
      <c r="I51" s="45"/>
    </row>
    <row r="52" spans="1:16" ht="21" x14ac:dyDescent="0.5">
      <c r="A52" s="833"/>
      <c r="B52" s="45"/>
      <c r="C52" s="54" t="str">
        <f>IF(VSK=0, "UNVOLLSTÄNDIG AUSGEFÜLLT!","")</f>
        <v>UNVOLLSTÄNDIG AUSGEFÜLLT!</v>
      </c>
      <c r="D52" s="45"/>
      <c r="E52" s="438">
        <f>IF(SUM(H27:H46)&gt;0,1,0)</f>
        <v>0</v>
      </c>
      <c r="F52" s="45"/>
      <c r="G52" s="852" t="str">
        <f>IF(VSK&lt;&gt;0, G92,"")</f>
        <v/>
      </c>
      <c r="H52" s="852"/>
      <c r="I52" s="45"/>
      <c r="P52" s="254"/>
    </row>
    <row r="53" spans="1:16" ht="15.5" x14ac:dyDescent="0.35">
      <c r="A53" s="833"/>
      <c r="B53" s="45"/>
      <c r="C53" s="45"/>
      <c r="D53" s="45"/>
      <c r="E53" s="45"/>
      <c r="F53" s="45"/>
      <c r="G53" s="45"/>
      <c r="H53" s="45"/>
      <c r="I53" s="45"/>
    </row>
    <row r="54" spans="1:16" ht="15" customHeight="1" x14ac:dyDescent="0.35">
      <c r="A54" s="830" t="s">
        <v>66</v>
      </c>
      <c r="I54" s="577" t="str">
        <f ca="1">IF(VLOOKUP(B60,CHOOSE({5,4,3,2,1},Gesamt!L32:L65,Gesamt!M32:M65,Gesamt!N32:N65,Gesamt!O32:O65,Gesamt!P32:P65,),4,0)&gt;0,CONCATENATE("Pos. ",VLOOKUP(B60,CHOOSE({5,4,3,2,1},Gesamt!L32:L65,Gesamt!M32:M65,Gesamt!N32:N65,Gesamt!O32:O65,Gesamt!P32:P65,),VLOOKUP(Gesamt!C19,Gesamt!L5:N7,3,0),0)),"")</f>
        <v/>
      </c>
    </row>
    <row r="55" spans="1:16" x14ac:dyDescent="0.35">
      <c r="A55" s="830"/>
      <c r="B55" s="831" t="str">
        <f>CONCATENATE(Gesamt!C2, ": ", Gesamt!E2)</f>
        <v xml:space="preserve">Projekt: </v>
      </c>
      <c r="C55" s="831"/>
      <c r="D55" s="831"/>
      <c r="E55" s="831"/>
      <c r="F55" s="831"/>
      <c r="G55" s="831"/>
      <c r="H55" s="831"/>
      <c r="I55" s="831"/>
    </row>
    <row r="56" spans="1:16" x14ac:dyDescent="0.35">
      <c r="A56" s="830"/>
      <c r="B56" s="832" t="str">
        <f>CONCATENATE(Gesamt!C4, ": ", Gesamt!E4, IF(Gesamt!E5&lt;&gt;""," - ",""), IF(Gesamt!E5&lt;&gt;"",Gesamt!E5,""), IF(Gesamt!E6&lt;&gt;""," - GZ. ",""), IF(Gesamt!E6&lt;&gt;"",Gesamt!E6,""),)</f>
        <v xml:space="preserve">Auftraggeber: </v>
      </c>
      <c r="C56" s="832"/>
      <c r="D56" s="832"/>
      <c r="E56" s="832"/>
      <c r="F56" s="832"/>
      <c r="G56" s="832"/>
      <c r="H56" s="832"/>
      <c r="I56" s="832"/>
    </row>
    <row r="57" spans="1:16" x14ac:dyDescent="0.35">
      <c r="A57" s="830"/>
      <c r="B57" s="832" t="str">
        <f>CONCATENATE(Gesamt!C9, ": ",Gesamt!E9,  IF(Gesamt!C10&lt;&gt;""," - ",""), IF(Gesamt!C10&lt;&gt;"",Gesamt!E10,""), IF(Gesamt!C11&lt;&gt;""," - GZ. ",""), IF(Gesamt!C11&lt;&gt;"",Gesamt!E11,""), )</f>
        <v xml:space="preserve">Bieter:  -  - GZ. </v>
      </c>
      <c r="C57" s="832"/>
      <c r="D57" s="832"/>
      <c r="E57" s="832"/>
      <c r="F57" s="832"/>
      <c r="G57" s="832"/>
      <c r="H57" s="832"/>
      <c r="I57" s="832"/>
    </row>
    <row r="58" spans="1:16" x14ac:dyDescent="0.35">
      <c r="A58" s="830"/>
      <c r="B58" s="832" t="s">
        <v>41</v>
      </c>
      <c r="C58" s="832"/>
      <c r="D58" s="832"/>
      <c r="E58" s="832"/>
      <c r="F58" s="832"/>
      <c r="G58" s="832"/>
      <c r="H58" s="832"/>
      <c r="I58" s="832"/>
    </row>
    <row r="59" spans="1:16" x14ac:dyDescent="0.35">
      <c r="A59" s="830"/>
    </row>
    <row r="60" spans="1:16" ht="18.5" x14ac:dyDescent="0.35">
      <c r="A60" s="830"/>
      <c r="B60" s="843" t="str">
        <f>C2</f>
        <v>Geoinformationen</v>
      </c>
      <c r="C60" s="843"/>
      <c r="D60" s="843"/>
      <c r="E60" s="843"/>
      <c r="F60" s="843"/>
      <c r="G60" s="843"/>
      <c r="H60" s="843"/>
      <c r="I60" s="843"/>
    </row>
    <row r="61" spans="1:16" x14ac:dyDescent="0.35">
      <c r="A61" s="830"/>
    </row>
    <row r="62" spans="1:16" x14ac:dyDescent="0.35">
      <c r="A62" s="830"/>
      <c r="C62" t="str">
        <f>CONCATENATE("LB_VG, Pos. 5.1, ",C2)</f>
        <v>LB_VG, Pos. 5.1, Geoinformationen</v>
      </c>
    </row>
    <row r="63" spans="1:16" x14ac:dyDescent="0.35">
      <c r="A63" s="830"/>
    </row>
    <row r="64" spans="1:16" x14ac:dyDescent="0.35">
      <c r="A64" s="830"/>
      <c r="C64" t="s">
        <v>959</v>
      </c>
      <c r="E64" s="243">
        <f>IS</f>
        <v>0</v>
      </c>
    </row>
    <row r="65" spans="1:15" x14ac:dyDescent="0.35">
      <c r="A65" s="830"/>
      <c r="C65" s="15"/>
    </row>
    <row r="66" spans="1:15" x14ac:dyDescent="0.35">
      <c r="A66" s="830"/>
      <c r="C66" s="442" t="s">
        <v>618</v>
      </c>
      <c r="D66" s="442" t="s">
        <v>619</v>
      </c>
      <c r="E66" s="443" t="s">
        <v>617</v>
      </c>
      <c r="F66" s="443" t="s">
        <v>620</v>
      </c>
      <c r="G66" s="443" t="s">
        <v>601</v>
      </c>
      <c r="H66" s="443" t="s">
        <v>616</v>
      </c>
    </row>
    <row r="67" spans="1:15" x14ac:dyDescent="0.35">
      <c r="A67" s="830"/>
      <c r="C67" s="446" t="str">
        <f>IF(C27&lt;&gt;"",C27,"")</f>
        <v/>
      </c>
      <c r="D67" s="440" t="str">
        <f t="shared" ref="D67:H67" si="2">IF(D27&lt;&gt;"",D27,"")</f>
        <v/>
      </c>
      <c r="E67" s="439" t="str">
        <f t="shared" si="2"/>
        <v/>
      </c>
      <c r="F67" s="439" t="str">
        <f t="shared" si="2"/>
        <v/>
      </c>
      <c r="G67" s="444" t="str">
        <f t="shared" si="2"/>
        <v/>
      </c>
      <c r="H67" s="441" t="str">
        <f t="shared" si="2"/>
        <v/>
      </c>
      <c r="K67" s="835" t="s">
        <v>626</v>
      </c>
      <c r="L67" s="879"/>
      <c r="M67" s="879"/>
      <c r="N67" s="879"/>
      <c r="O67" s="880"/>
    </row>
    <row r="68" spans="1:15" x14ac:dyDescent="0.35">
      <c r="A68" s="830"/>
      <c r="C68" s="446" t="str">
        <f t="shared" ref="C68:H83" si="3">IF(C28&lt;&gt;"",C28,"")</f>
        <v/>
      </c>
      <c r="D68" s="440" t="str">
        <f t="shared" si="3"/>
        <v/>
      </c>
      <c r="E68" s="439" t="str">
        <f t="shared" si="3"/>
        <v/>
      </c>
      <c r="F68" s="439" t="str">
        <f t="shared" si="3"/>
        <v/>
      </c>
      <c r="G68" s="444" t="str">
        <f t="shared" si="3"/>
        <v/>
      </c>
      <c r="H68" s="441" t="str">
        <f t="shared" si="3"/>
        <v/>
      </c>
      <c r="K68" s="881"/>
      <c r="L68" s="882"/>
      <c r="M68" s="882"/>
      <c r="N68" s="882"/>
      <c r="O68" s="883"/>
    </row>
    <row r="69" spans="1:15" x14ac:dyDescent="0.35">
      <c r="A69" s="830"/>
      <c r="C69" s="446" t="str">
        <f t="shared" si="3"/>
        <v/>
      </c>
      <c r="D69" s="440" t="str">
        <f t="shared" si="3"/>
        <v/>
      </c>
      <c r="E69" s="439" t="str">
        <f t="shared" si="3"/>
        <v/>
      </c>
      <c r="F69" s="439" t="str">
        <f t="shared" si="3"/>
        <v/>
      </c>
      <c r="G69" s="444" t="str">
        <f t="shared" si="3"/>
        <v/>
      </c>
      <c r="H69" s="441" t="str">
        <f t="shared" si="3"/>
        <v/>
      </c>
      <c r="K69" s="881"/>
      <c r="L69" s="882"/>
      <c r="M69" s="882"/>
      <c r="N69" s="882"/>
      <c r="O69" s="883"/>
    </row>
    <row r="70" spans="1:15" x14ac:dyDescent="0.35">
      <c r="A70" s="830"/>
      <c r="C70" s="446" t="str">
        <f t="shared" si="3"/>
        <v/>
      </c>
      <c r="D70" s="440" t="str">
        <f t="shared" si="3"/>
        <v/>
      </c>
      <c r="E70" s="439" t="str">
        <f t="shared" si="3"/>
        <v/>
      </c>
      <c r="F70" s="439" t="str">
        <f t="shared" si="3"/>
        <v/>
      </c>
      <c r="G70" s="444" t="str">
        <f t="shared" si="3"/>
        <v/>
      </c>
      <c r="H70" s="441" t="str">
        <f t="shared" si="3"/>
        <v/>
      </c>
      <c r="K70" s="881"/>
      <c r="L70" s="882"/>
      <c r="M70" s="882"/>
      <c r="N70" s="882"/>
      <c r="O70" s="883"/>
    </row>
    <row r="71" spans="1:15" x14ac:dyDescent="0.35">
      <c r="A71" s="830"/>
      <c r="C71" s="446" t="str">
        <f t="shared" si="3"/>
        <v/>
      </c>
      <c r="D71" s="440" t="str">
        <f t="shared" si="3"/>
        <v/>
      </c>
      <c r="E71" s="439" t="str">
        <f t="shared" si="3"/>
        <v/>
      </c>
      <c r="F71" s="439" t="str">
        <f t="shared" si="3"/>
        <v/>
      </c>
      <c r="G71" s="444" t="str">
        <f t="shared" si="3"/>
        <v/>
      </c>
      <c r="H71" s="441" t="str">
        <f t="shared" si="3"/>
        <v/>
      </c>
      <c r="K71" s="884"/>
      <c r="L71" s="885"/>
      <c r="M71" s="885"/>
      <c r="N71" s="885"/>
      <c r="O71" s="886"/>
    </row>
    <row r="72" spans="1:15" x14ac:dyDescent="0.35">
      <c r="A72" s="830"/>
      <c r="C72" s="446" t="str">
        <f t="shared" si="3"/>
        <v/>
      </c>
      <c r="D72" s="440" t="str">
        <f t="shared" si="3"/>
        <v/>
      </c>
      <c r="E72" s="439" t="str">
        <f t="shared" si="3"/>
        <v/>
      </c>
      <c r="F72" s="439" t="str">
        <f t="shared" si="3"/>
        <v/>
      </c>
      <c r="G72" s="444" t="str">
        <f t="shared" si="3"/>
        <v/>
      </c>
      <c r="H72" s="441" t="str">
        <f t="shared" si="3"/>
        <v/>
      </c>
    </row>
    <row r="73" spans="1:15" x14ac:dyDescent="0.35">
      <c r="A73" s="830"/>
      <c r="C73" s="446" t="str">
        <f t="shared" si="3"/>
        <v/>
      </c>
      <c r="D73" s="440" t="str">
        <f t="shared" si="3"/>
        <v/>
      </c>
      <c r="E73" s="439" t="str">
        <f t="shared" si="3"/>
        <v/>
      </c>
      <c r="F73" s="439" t="str">
        <f t="shared" si="3"/>
        <v/>
      </c>
      <c r="G73" s="444" t="str">
        <f t="shared" si="3"/>
        <v/>
      </c>
      <c r="H73" s="441" t="str">
        <f t="shared" si="3"/>
        <v/>
      </c>
    </row>
    <row r="74" spans="1:15" x14ac:dyDescent="0.35">
      <c r="A74" s="830"/>
      <c r="C74" s="446" t="str">
        <f t="shared" si="3"/>
        <v/>
      </c>
      <c r="D74" s="440" t="str">
        <f t="shared" si="3"/>
        <v/>
      </c>
      <c r="E74" s="439" t="str">
        <f t="shared" si="3"/>
        <v/>
      </c>
      <c r="F74" s="439" t="str">
        <f t="shared" si="3"/>
        <v/>
      </c>
      <c r="G74" s="444" t="str">
        <f t="shared" si="3"/>
        <v/>
      </c>
      <c r="H74" s="441" t="str">
        <f t="shared" si="3"/>
        <v/>
      </c>
    </row>
    <row r="75" spans="1:15" x14ac:dyDescent="0.35">
      <c r="A75" s="830"/>
      <c r="C75" s="446" t="str">
        <f t="shared" si="3"/>
        <v/>
      </c>
      <c r="D75" s="440" t="str">
        <f t="shared" si="3"/>
        <v/>
      </c>
      <c r="E75" s="439" t="str">
        <f t="shared" si="3"/>
        <v/>
      </c>
      <c r="F75" s="439" t="str">
        <f t="shared" si="3"/>
        <v/>
      </c>
      <c r="G75" s="444" t="str">
        <f t="shared" si="3"/>
        <v/>
      </c>
      <c r="H75" s="441" t="str">
        <f t="shared" si="3"/>
        <v/>
      </c>
    </row>
    <row r="76" spans="1:15" x14ac:dyDescent="0.35">
      <c r="A76" s="830"/>
      <c r="C76" s="446" t="str">
        <f t="shared" si="3"/>
        <v/>
      </c>
      <c r="D76" s="440" t="str">
        <f t="shared" si="3"/>
        <v/>
      </c>
      <c r="E76" s="439" t="str">
        <f t="shared" si="3"/>
        <v/>
      </c>
      <c r="F76" s="439" t="str">
        <f t="shared" si="3"/>
        <v/>
      </c>
      <c r="G76" s="444" t="str">
        <f t="shared" si="3"/>
        <v/>
      </c>
      <c r="H76" s="441" t="str">
        <f t="shared" si="3"/>
        <v/>
      </c>
    </row>
    <row r="77" spans="1:15" x14ac:dyDescent="0.35">
      <c r="A77" s="830"/>
      <c r="C77" s="446" t="str">
        <f t="shared" si="3"/>
        <v/>
      </c>
      <c r="D77" s="440" t="str">
        <f t="shared" si="3"/>
        <v/>
      </c>
      <c r="E77" s="439" t="str">
        <f t="shared" si="3"/>
        <v/>
      </c>
      <c r="F77" s="439" t="str">
        <f t="shared" si="3"/>
        <v/>
      </c>
      <c r="G77" s="444" t="str">
        <f t="shared" si="3"/>
        <v/>
      </c>
      <c r="H77" s="441" t="str">
        <f t="shared" si="3"/>
        <v/>
      </c>
    </row>
    <row r="78" spans="1:15" x14ac:dyDescent="0.35">
      <c r="A78" s="830"/>
      <c r="C78" s="446" t="str">
        <f t="shared" si="3"/>
        <v/>
      </c>
      <c r="D78" s="440" t="str">
        <f t="shared" si="3"/>
        <v/>
      </c>
      <c r="E78" s="439" t="str">
        <f t="shared" si="3"/>
        <v/>
      </c>
      <c r="F78" s="439" t="str">
        <f t="shared" si="3"/>
        <v/>
      </c>
      <c r="G78" s="444" t="str">
        <f t="shared" si="3"/>
        <v/>
      </c>
      <c r="H78" s="441" t="str">
        <f t="shared" si="3"/>
        <v/>
      </c>
    </row>
    <row r="79" spans="1:15" x14ac:dyDescent="0.35">
      <c r="A79" s="830"/>
      <c r="C79" s="446" t="str">
        <f t="shared" si="3"/>
        <v/>
      </c>
      <c r="D79" s="440" t="str">
        <f t="shared" si="3"/>
        <v/>
      </c>
      <c r="E79" s="439" t="str">
        <f t="shared" si="3"/>
        <v/>
      </c>
      <c r="F79" s="439" t="str">
        <f t="shared" si="3"/>
        <v/>
      </c>
      <c r="G79" s="444" t="str">
        <f t="shared" si="3"/>
        <v/>
      </c>
      <c r="H79" s="441" t="str">
        <f t="shared" si="3"/>
        <v/>
      </c>
    </row>
    <row r="80" spans="1:15" x14ac:dyDescent="0.35">
      <c r="A80" s="830"/>
      <c r="C80" s="446" t="str">
        <f t="shared" si="3"/>
        <v/>
      </c>
      <c r="D80" s="440" t="str">
        <f t="shared" si="3"/>
        <v/>
      </c>
      <c r="E80" s="439" t="str">
        <f t="shared" si="3"/>
        <v/>
      </c>
      <c r="F80" s="439" t="str">
        <f t="shared" si="3"/>
        <v/>
      </c>
      <c r="G80" s="444" t="str">
        <f t="shared" si="3"/>
        <v/>
      </c>
      <c r="H80" s="441" t="str">
        <f t="shared" si="3"/>
        <v/>
      </c>
    </row>
    <row r="81" spans="1:9" x14ac:dyDescent="0.35">
      <c r="A81" s="830"/>
      <c r="B81" s="3"/>
      <c r="C81" s="446" t="str">
        <f t="shared" si="3"/>
        <v/>
      </c>
      <c r="D81" s="440" t="str">
        <f t="shared" si="3"/>
        <v/>
      </c>
      <c r="E81" s="439" t="str">
        <f t="shared" si="3"/>
        <v/>
      </c>
      <c r="F81" s="439" t="str">
        <f t="shared" si="3"/>
        <v/>
      </c>
      <c r="G81" s="444" t="str">
        <f t="shared" si="3"/>
        <v/>
      </c>
      <c r="H81" s="441" t="str">
        <f t="shared" si="3"/>
        <v/>
      </c>
    </row>
    <row r="82" spans="1:9" x14ac:dyDescent="0.35">
      <c r="A82" s="830"/>
      <c r="C82" s="446" t="str">
        <f t="shared" si="3"/>
        <v/>
      </c>
      <c r="D82" s="440" t="str">
        <f t="shared" si="3"/>
        <v/>
      </c>
      <c r="E82" s="439" t="str">
        <f t="shared" si="3"/>
        <v/>
      </c>
      <c r="F82" s="439" t="str">
        <f t="shared" si="3"/>
        <v/>
      </c>
      <c r="G82" s="444" t="str">
        <f t="shared" si="3"/>
        <v/>
      </c>
      <c r="H82" s="441" t="str">
        <f t="shared" si="3"/>
        <v/>
      </c>
    </row>
    <row r="83" spans="1:9" x14ac:dyDescent="0.35">
      <c r="A83" s="830"/>
      <c r="C83" s="446" t="str">
        <f t="shared" si="3"/>
        <v/>
      </c>
      <c r="D83" s="440" t="str">
        <f t="shared" si="3"/>
        <v/>
      </c>
      <c r="E83" s="439" t="str">
        <f t="shared" si="3"/>
        <v/>
      </c>
      <c r="F83" s="439" t="str">
        <f t="shared" si="3"/>
        <v/>
      </c>
      <c r="G83" s="444" t="str">
        <f t="shared" si="3"/>
        <v/>
      </c>
      <c r="H83" s="441" t="str">
        <f t="shared" si="3"/>
        <v/>
      </c>
    </row>
    <row r="84" spans="1:9" x14ac:dyDescent="0.35">
      <c r="A84" s="830"/>
      <c r="C84" s="446" t="str">
        <f t="shared" ref="C84:H86" si="4">IF(C44&lt;&gt;"",C44,"")</f>
        <v/>
      </c>
      <c r="D84" s="440" t="str">
        <f t="shared" si="4"/>
        <v/>
      </c>
      <c r="E84" s="439" t="str">
        <f t="shared" si="4"/>
        <v/>
      </c>
      <c r="F84" s="439" t="str">
        <f t="shared" si="4"/>
        <v/>
      </c>
      <c r="G84" s="444" t="str">
        <f t="shared" si="4"/>
        <v/>
      </c>
      <c r="H84" s="441" t="str">
        <f t="shared" si="4"/>
        <v/>
      </c>
    </row>
    <row r="85" spans="1:9" x14ac:dyDescent="0.35">
      <c r="A85" s="830"/>
      <c r="C85" s="446" t="str">
        <f t="shared" si="4"/>
        <v/>
      </c>
      <c r="D85" s="440" t="str">
        <f t="shared" si="4"/>
        <v/>
      </c>
      <c r="E85" s="439" t="str">
        <f t="shared" si="4"/>
        <v/>
      </c>
      <c r="F85" s="439" t="str">
        <f t="shared" si="4"/>
        <v/>
      </c>
      <c r="G85" s="444" t="str">
        <f t="shared" si="4"/>
        <v/>
      </c>
      <c r="H85" s="441" t="str">
        <f t="shared" si="4"/>
        <v/>
      </c>
    </row>
    <row r="86" spans="1:9" x14ac:dyDescent="0.35">
      <c r="A86" s="830"/>
      <c r="C86" s="446" t="str">
        <f t="shared" si="4"/>
        <v/>
      </c>
      <c r="D86" s="291" t="str">
        <f t="shared" si="4"/>
        <v/>
      </c>
      <c r="E86" s="439" t="str">
        <f t="shared" si="4"/>
        <v/>
      </c>
      <c r="F86" s="439" t="str">
        <f t="shared" si="4"/>
        <v/>
      </c>
      <c r="G86" s="444" t="str">
        <f t="shared" si="4"/>
        <v/>
      </c>
      <c r="H86" s="441" t="str">
        <f t="shared" si="4"/>
        <v/>
      </c>
    </row>
    <row r="87" spans="1:9" x14ac:dyDescent="0.35">
      <c r="A87" s="830"/>
      <c r="C87" s="447"/>
      <c r="D87" s="447"/>
      <c r="E87" s="447"/>
      <c r="F87" s="447"/>
      <c r="G87" s="892" t="str">
        <f>IF(VSK&lt;&gt;0, SUM(H67:H86),"")</f>
        <v/>
      </c>
      <c r="H87" s="892"/>
    </row>
    <row r="88" spans="1:9" x14ac:dyDescent="0.35">
      <c r="A88" s="830"/>
    </row>
    <row r="89" spans="1:9" x14ac:dyDescent="0.35">
      <c r="A89" s="830"/>
      <c r="B89" s="3"/>
      <c r="C89" t="str">
        <f>IF(AND(ZuAbschlag&lt;&gt;0,VSK&lt;&gt;0),"Zu-/Abschlag:","")</f>
        <v/>
      </c>
      <c r="E89" s="15" t="str">
        <f>IF(AND(ZuAbschlag&lt;&gt;0,VSK&lt;&gt;0),ZuAbschlag,"")</f>
        <v/>
      </c>
      <c r="F89" s="481" t="str">
        <f>IF(AND(ZuAbschlag&lt;&gt;0,VSK&lt;&gt;0),G87*E89,"")</f>
        <v/>
      </c>
      <c r="G89" s="1" t="str">
        <f>IF(AND(ZuAbschlag&lt;&gt;0,VSK&lt;&gt;0,F49&lt;&gt;""),F49,"")</f>
        <v/>
      </c>
    </row>
    <row r="90" spans="1:9" ht="15.5" x14ac:dyDescent="0.35">
      <c r="A90" s="830"/>
      <c r="C90" t="str">
        <f>IF(AND(NK&lt;&gt;0,VSK&lt;&gt;0),"Nebenkosten:","")</f>
        <v/>
      </c>
      <c r="F90" s="481" t="str">
        <f>IF(AND(NK&lt;&gt;0,VSK&lt;&gt;0),NK,"")</f>
        <v/>
      </c>
      <c r="G90" s="1" t="str">
        <f>IF(AND(NK&lt;&gt;0,VSK&lt;&gt;0,F50&lt;&gt;""),F50,"")</f>
        <v/>
      </c>
      <c r="I90" s="16"/>
    </row>
    <row r="91" spans="1:9" x14ac:dyDescent="0.35">
      <c r="A91" s="830"/>
    </row>
    <row r="92" spans="1:9" ht="15.5" x14ac:dyDescent="0.35">
      <c r="A92" s="830"/>
      <c r="C92" s="16" t="s">
        <v>65</v>
      </c>
      <c r="D92" s="16"/>
      <c r="E92" s="16"/>
      <c r="F92" s="16"/>
      <c r="G92" s="893">
        <f>IF(VSK&gt;0,SUM(F90,F89,G87),0)</f>
        <v>0</v>
      </c>
      <c r="H92" s="894"/>
    </row>
    <row r="93" spans="1:9" x14ac:dyDescent="0.35">
      <c r="A93" s="830"/>
    </row>
    <row r="94" spans="1:9" x14ac:dyDescent="0.35">
      <c r="A94" s="830"/>
    </row>
    <row r="95" spans="1:9" x14ac:dyDescent="0.35">
      <c r="A95" s="830"/>
    </row>
  </sheetData>
  <mergeCells count="14">
    <mergeCell ref="F49:H49"/>
    <mergeCell ref="A1:A53"/>
    <mergeCell ref="C2:H2"/>
    <mergeCell ref="A54:A95"/>
    <mergeCell ref="B55:I55"/>
    <mergeCell ref="B56:I56"/>
    <mergeCell ref="B57:I57"/>
    <mergeCell ref="B58:I58"/>
    <mergeCell ref="B60:I60"/>
    <mergeCell ref="K67:O71"/>
    <mergeCell ref="G87:H87"/>
    <mergeCell ref="G92:H92"/>
    <mergeCell ref="F50:H50"/>
    <mergeCell ref="G52:H52"/>
  </mergeCells>
  <dataValidations disablePrompts="1" count="4">
    <dataValidation type="decimal" operator="greaterThan" showInputMessage="1" showErrorMessage="1" sqref="E49" xr:uid="{00000000-0002-0000-1700-000000000000}">
      <formula1>-1000</formula1>
    </dataValidation>
    <dataValidation type="decimal" operator="greaterThan" showInputMessage="1" showErrorMessage="1" sqref="E50" xr:uid="{00000000-0002-0000-1700-000002000000}">
      <formula1>-1000000</formula1>
    </dataValidation>
    <dataValidation type="decimal" operator="greaterThanOrEqual" allowBlank="1" showInputMessage="1" showErrorMessage="1" error="Zahl eingeben!" sqref="F27:F46" xr:uid="{675C6D9F-6485-4D15-9409-245745CDF8B0}">
      <formula1>0</formula1>
    </dataValidation>
    <dataValidation type="list" showInputMessage="1" showErrorMessage="1" sqref="E27:E46" xr:uid="{B617884D-90A2-4443-898C-96B2F79B391A}">
      <formula1>$G$5:$G$24</formula1>
    </dataValidation>
  </dataValidations>
  <pageMargins left="0.70866141732283472" right="0.39370078740157483" top="0.59055118110236227" bottom="0.59055118110236227" header="0.31496062992125984" footer="0.31496062992125984"/>
  <pageSetup paperSize="9" orientation="portrait" r:id="rId1"/>
  <headerFooter>
    <oddFooter>&amp;L&amp;9&amp;F, &amp;A&amp;R&amp;9&amp;D</oddFooter>
  </headerFooter>
  <legacyDrawingHF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26"/>
  <dimension ref="A1:U97"/>
  <sheetViews>
    <sheetView zoomScaleNormal="100" workbookViewId="0">
      <selection activeCell="C29" sqref="C29"/>
    </sheetView>
  </sheetViews>
  <sheetFormatPr baseColWidth="10" defaultColWidth="11.453125" defaultRowHeight="14.5" x14ac:dyDescent="0.35"/>
  <cols>
    <col min="1" max="1" width="4" customWidth="1"/>
    <col min="2" max="2" width="4.7265625" customWidth="1"/>
    <col min="3" max="3" width="5.7265625" customWidth="1"/>
    <col min="4" max="4" width="35.7265625" customWidth="1"/>
    <col min="5" max="7" width="8.453125" customWidth="1"/>
    <col min="8" max="8" width="11.453125" customWidth="1"/>
    <col min="9" max="9" width="4.26953125" customWidth="1"/>
  </cols>
  <sheetData>
    <row r="1" spans="1:21" ht="15.75" customHeight="1" x14ac:dyDescent="0.35">
      <c r="A1" s="833" t="s">
        <v>35</v>
      </c>
      <c r="B1" s="45"/>
      <c r="C1" s="45"/>
      <c r="D1" s="45"/>
      <c r="E1" s="45"/>
      <c r="F1" s="45"/>
      <c r="G1" s="45"/>
      <c r="H1" s="45"/>
      <c r="I1" s="45"/>
      <c r="K1" s="93" t="s">
        <v>699</v>
      </c>
      <c r="L1" s="93"/>
      <c r="M1" s="93"/>
      <c r="N1" s="94">
        <f ca="1">CELL("ZEILE",B62)</f>
        <v>62</v>
      </c>
    </row>
    <row r="2" spans="1:21" ht="23.5" x14ac:dyDescent="0.35">
      <c r="A2" s="833"/>
      <c r="B2" s="46"/>
      <c r="C2" s="864" t="s">
        <v>104</v>
      </c>
      <c r="D2" s="865"/>
      <c r="E2" s="865"/>
      <c r="F2" s="865"/>
      <c r="G2" s="865"/>
      <c r="H2" s="866"/>
      <c r="I2" s="45"/>
      <c r="K2" s="175" t="s">
        <v>700</v>
      </c>
      <c r="L2" s="155"/>
      <c r="M2" s="155"/>
      <c r="N2" s="175">
        <f ca="1">CELL("ZEILE",G94)</f>
        <v>94</v>
      </c>
    </row>
    <row r="3" spans="1:21" ht="15.5" x14ac:dyDescent="0.35">
      <c r="A3" s="833"/>
      <c r="B3" s="330"/>
      <c r="C3" s="330"/>
      <c r="D3" s="330"/>
      <c r="E3" s="330"/>
      <c r="F3" s="330"/>
      <c r="G3" s="330"/>
      <c r="H3" s="330"/>
      <c r="I3" s="330"/>
      <c r="K3" s="175" t="s">
        <v>701</v>
      </c>
      <c r="L3" s="155"/>
      <c r="M3" s="155"/>
      <c r="N3" s="175">
        <f>E54</f>
        <v>0</v>
      </c>
    </row>
    <row r="4" spans="1:21" ht="16" thickBot="1" x14ac:dyDescent="0.4">
      <c r="A4" s="833"/>
      <c r="B4" s="330"/>
      <c r="C4" s="330" t="s">
        <v>600</v>
      </c>
      <c r="D4" s="330"/>
      <c r="E4" s="330"/>
      <c r="F4" s="330"/>
      <c r="G4" s="330" t="s">
        <v>599</v>
      </c>
      <c r="H4" s="330" t="s">
        <v>601</v>
      </c>
      <c r="I4" s="330"/>
    </row>
    <row r="5" spans="1:21" s="234" customFormat="1" ht="15" customHeight="1" thickBot="1" x14ac:dyDescent="0.35">
      <c r="A5" s="833"/>
      <c r="B5" s="242"/>
      <c r="C5" s="982" t="s">
        <v>702</v>
      </c>
      <c r="D5" s="982"/>
      <c r="E5" s="982"/>
      <c r="F5" s="982"/>
      <c r="G5" s="429" t="s">
        <v>708</v>
      </c>
      <c r="H5" s="431">
        <f>ROUND(IS*0.75,2)</f>
        <v>0</v>
      </c>
      <c r="I5" s="432"/>
    </row>
    <row r="6" spans="1:21" s="234" customFormat="1" ht="15" customHeight="1" thickBot="1" x14ac:dyDescent="0.35">
      <c r="A6" s="833"/>
      <c r="B6" s="242"/>
      <c r="C6" s="985" t="s">
        <v>703</v>
      </c>
      <c r="D6" s="986"/>
      <c r="E6" s="986"/>
      <c r="F6" s="987"/>
      <c r="G6" s="429" t="s">
        <v>709</v>
      </c>
      <c r="H6" s="431">
        <f>ROUND(IS*0.6,2)</f>
        <v>0</v>
      </c>
      <c r="I6" s="432"/>
    </row>
    <row r="7" spans="1:21" s="234" customFormat="1" ht="15" customHeight="1" thickBot="1" x14ac:dyDescent="0.35">
      <c r="A7" s="833"/>
      <c r="B7" s="242"/>
      <c r="C7" s="985" t="s">
        <v>704</v>
      </c>
      <c r="D7" s="986"/>
      <c r="E7" s="986"/>
      <c r="F7" s="987"/>
      <c r="G7" s="429" t="s">
        <v>710</v>
      </c>
      <c r="H7" s="431">
        <f>ROUND(IS*1,2)</f>
        <v>0</v>
      </c>
      <c r="I7" s="432"/>
    </row>
    <row r="8" spans="1:21" s="234" customFormat="1" ht="15" customHeight="1" thickBot="1" x14ac:dyDescent="0.35">
      <c r="A8" s="833"/>
      <c r="B8" s="242"/>
      <c r="C8" s="985" t="s">
        <v>705</v>
      </c>
      <c r="D8" s="986"/>
      <c r="E8" s="986"/>
      <c r="F8" s="987"/>
      <c r="G8" s="429" t="s">
        <v>711</v>
      </c>
      <c r="H8" s="431">
        <f>ROUND(IS*0.6,2)</f>
        <v>0</v>
      </c>
      <c r="I8" s="432"/>
    </row>
    <row r="9" spans="1:21" s="234" customFormat="1" ht="15" customHeight="1" thickBot="1" x14ac:dyDescent="0.35">
      <c r="A9" s="833"/>
      <c r="B9" s="242"/>
      <c r="C9" s="985" t="s">
        <v>706</v>
      </c>
      <c r="D9" s="986"/>
      <c r="E9" s="986"/>
      <c r="F9" s="987"/>
      <c r="G9" s="429" t="s">
        <v>712</v>
      </c>
      <c r="H9" s="431">
        <f>ROUND(IS*0.5,2)</f>
        <v>0</v>
      </c>
      <c r="I9" s="432"/>
    </row>
    <row r="10" spans="1:21" s="234" customFormat="1" ht="15" customHeight="1" thickBot="1" x14ac:dyDescent="0.35">
      <c r="A10" s="833"/>
      <c r="B10" s="242"/>
      <c r="C10" s="985" t="s">
        <v>707</v>
      </c>
      <c r="D10" s="986"/>
      <c r="E10" s="986"/>
      <c r="F10" s="987"/>
      <c r="G10" s="429" t="s">
        <v>713</v>
      </c>
      <c r="H10" s="431">
        <f>ROUND(IS*0.5,2)</f>
        <v>0</v>
      </c>
      <c r="I10" s="432"/>
    </row>
    <row r="11" spans="1:21" s="234" customFormat="1" ht="15" customHeight="1" thickBot="1" x14ac:dyDescent="0.35">
      <c r="A11" s="833"/>
      <c r="B11" s="242"/>
      <c r="C11" s="475"/>
      <c r="D11" s="476"/>
      <c r="E11" s="476"/>
      <c r="F11" s="477"/>
      <c r="G11" s="429"/>
      <c r="H11" s="431"/>
      <c r="I11" s="432"/>
    </row>
    <row r="12" spans="1:21" s="234" customFormat="1" ht="15" customHeight="1" thickBot="1" x14ac:dyDescent="0.35">
      <c r="A12" s="833"/>
      <c r="B12" s="242"/>
      <c r="C12" s="543" t="s">
        <v>602</v>
      </c>
      <c r="D12" s="544"/>
      <c r="E12" s="544"/>
      <c r="F12" s="545"/>
      <c r="G12" s="478" t="s">
        <v>604</v>
      </c>
      <c r="H12" s="479">
        <f>ROUND(IS*0.5,2)</f>
        <v>0</v>
      </c>
      <c r="I12" s="432"/>
    </row>
    <row r="13" spans="1:21" s="234" customFormat="1" ht="15" customHeight="1" thickBot="1" x14ac:dyDescent="0.35">
      <c r="A13" s="833"/>
      <c r="B13" s="242"/>
      <c r="C13" s="543" t="s">
        <v>603</v>
      </c>
      <c r="D13" s="544"/>
      <c r="E13" s="544"/>
      <c r="F13" s="545"/>
      <c r="G13" s="478" t="s">
        <v>627</v>
      </c>
      <c r="H13" s="479">
        <f>ROUND(IS*0.65,2)</f>
        <v>0</v>
      </c>
      <c r="I13" s="432"/>
      <c r="K13" s="433"/>
      <c r="M13" s="434"/>
    </row>
    <row r="14" spans="1:21" s="234" customFormat="1" ht="15" customHeight="1" thickBot="1" x14ac:dyDescent="0.35">
      <c r="A14" s="833"/>
      <c r="B14" s="242"/>
      <c r="C14" s="543" t="s">
        <v>605</v>
      </c>
      <c r="D14" s="544"/>
      <c r="E14" s="544"/>
      <c r="F14" s="545"/>
      <c r="G14" s="478" t="s">
        <v>606</v>
      </c>
      <c r="H14" s="479">
        <f>ROUND(IS*0.8,2)</f>
        <v>0</v>
      </c>
      <c r="I14" s="432"/>
      <c r="K14" s="433"/>
      <c r="M14" s="434"/>
      <c r="P14" s="433"/>
      <c r="Q14" s="433"/>
      <c r="R14" s="433"/>
      <c r="S14" s="433"/>
      <c r="T14" s="433"/>
      <c r="U14" s="433"/>
    </row>
    <row r="15" spans="1:21" s="234" customFormat="1" ht="15" customHeight="1" thickBot="1" x14ac:dyDescent="0.35">
      <c r="A15" s="833"/>
      <c r="B15" s="242"/>
      <c r="C15" s="543" t="s">
        <v>612</v>
      </c>
      <c r="D15" s="544"/>
      <c r="E15" s="544"/>
      <c r="F15" s="545"/>
      <c r="G15" s="478" t="s">
        <v>613</v>
      </c>
      <c r="H15" s="479">
        <f>ROUND(IS*0.8+IS*0.15,2)</f>
        <v>0</v>
      </c>
      <c r="I15" s="432"/>
      <c r="K15" s="473"/>
      <c r="L15" s="474"/>
      <c r="M15" s="434"/>
      <c r="P15" s="433"/>
      <c r="Q15" s="433"/>
      <c r="R15" s="433"/>
      <c r="S15" s="433"/>
      <c r="T15" s="433"/>
      <c r="U15" s="433"/>
    </row>
    <row r="16" spans="1:21" s="234" customFormat="1" ht="15" customHeight="1" thickBot="1" x14ac:dyDescent="0.35">
      <c r="A16" s="833"/>
      <c r="B16" s="336"/>
      <c r="C16" s="543" t="s">
        <v>607</v>
      </c>
      <c r="D16" s="544"/>
      <c r="E16" s="544"/>
      <c r="F16" s="545"/>
      <c r="G16" s="478" t="s">
        <v>608</v>
      </c>
      <c r="H16" s="479">
        <f>ROUND(IS*1,2)</f>
        <v>0</v>
      </c>
      <c r="I16" s="336"/>
      <c r="K16" s="474"/>
      <c r="L16" s="474"/>
      <c r="M16" s="434"/>
      <c r="P16" s="433"/>
      <c r="Q16" s="433"/>
      <c r="R16" s="433"/>
      <c r="S16" s="433"/>
      <c r="T16" s="433"/>
      <c r="U16" s="433"/>
    </row>
    <row r="17" spans="1:21" s="234" customFormat="1" ht="15" customHeight="1" thickBot="1" x14ac:dyDescent="0.35">
      <c r="A17" s="833"/>
      <c r="B17" s="336"/>
      <c r="C17" s="543" t="s">
        <v>948</v>
      </c>
      <c r="D17" s="544"/>
      <c r="E17" s="544"/>
      <c r="F17" s="545"/>
      <c r="G17" s="478" t="s">
        <v>951</v>
      </c>
      <c r="H17" s="479">
        <f>ROUND(IS*1.15,2)</f>
        <v>0</v>
      </c>
      <c r="I17" s="336"/>
      <c r="K17" s="474"/>
      <c r="L17" s="474"/>
      <c r="M17" s="434"/>
      <c r="P17" s="433"/>
      <c r="Q17" s="433"/>
      <c r="R17" s="433"/>
      <c r="S17" s="433"/>
      <c r="T17" s="433"/>
      <c r="U17" s="433"/>
    </row>
    <row r="18" spans="1:21" s="234" customFormat="1" ht="15" customHeight="1" thickBot="1" x14ac:dyDescent="0.35">
      <c r="A18" s="833"/>
      <c r="B18" s="336"/>
      <c r="C18" s="543" t="s">
        <v>949</v>
      </c>
      <c r="D18" s="544"/>
      <c r="E18" s="544"/>
      <c r="F18" s="545"/>
      <c r="G18" s="478" t="s">
        <v>954</v>
      </c>
      <c r="H18" s="479">
        <f>ROUND(IS*1.25,2)</f>
        <v>0</v>
      </c>
      <c r="I18" s="336"/>
      <c r="K18" s="474"/>
      <c r="L18" s="474"/>
      <c r="M18" s="435"/>
      <c r="N18" s="433"/>
      <c r="O18" s="433"/>
      <c r="P18" s="433"/>
      <c r="Q18" s="433"/>
      <c r="R18" s="433"/>
      <c r="S18" s="433"/>
      <c r="T18" s="433"/>
      <c r="U18" s="433"/>
    </row>
    <row r="19" spans="1:21" s="234" customFormat="1" ht="15" customHeight="1" thickBot="1" x14ac:dyDescent="0.35">
      <c r="A19" s="833"/>
      <c r="B19" s="336"/>
      <c r="C19" s="543" t="s">
        <v>950</v>
      </c>
      <c r="D19" s="544"/>
      <c r="E19" s="544"/>
      <c r="F19" s="545"/>
      <c r="G19" s="478" t="s">
        <v>952</v>
      </c>
      <c r="H19" s="479">
        <f>ROUND(IS*1.5,2)</f>
        <v>0</v>
      </c>
      <c r="I19" s="336"/>
      <c r="K19" s="474"/>
      <c r="L19" s="474"/>
      <c r="P19" s="433"/>
      <c r="Q19" s="433"/>
      <c r="R19" s="433"/>
      <c r="S19" s="433"/>
      <c r="T19" s="433"/>
      <c r="U19" s="433"/>
    </row>
    <row r="20" spans="1:21" s="234" customFormat="1" ht="15" customHeight="1" thickBot="1" x14ac:dyDescent="0.35">
      <c r="A20" s="833"/>
      <c r="B20" s="336"/>
      <c r="C20" s="543" t="s">
        <v>955</v>
      </c>
      <c r="D20" s="544"/>
      <c r="E20" s="544"/>
      <c r="F20" s="545"/>
      <c r="G20" s="478" t="s">
        <v>953</v>
      </c>
      <c r="H20" s="479">
        <f>ROUND(IS*2,2)</f>
        <v>0</v>
      </c>
      <c r="I20" s="336"/>
      <c r="K20" s="474"/>
      <c r="L20" s="474"/>
      <c r="M20" s="436"/>
      <c r="N20" s="433"/>
      <c r="O20" s="433"/>
      <c r="P20" s="433"/>
      <c r="Q20" s="433"/>
      <c r="R20" s="433"/>
      <c r="S20" s="433"/>
      <c r="T20" s="433"/>
      <c r="U20" s="433"/>
    </row>
    <row r="21" spans="1:21" s="234" customFormat="1" ht="15" customHeight="1" thickBot="1" x14ac:dyDescent="0.35">
      <c r="A21" s="833"/>
      <c r="B21" s="336"/>
      <c r="C21" s="543" t="s">
        <v>611</v>
      </c>
      <c r="D21" s="544"/>
      <c r="E21" s="544"/>
      <c r="F21" s="545"/>
      <c r="G21" s="478" t="s">
        <v>833</v>
      </c>
      <c r="H21" s="479">
        <f>ROUND(IS*1.2,2)</f>
        <v>0</v>
      </c>
      <c r="I21" s="336"/>
      <c r="K21" s="474"/>
      <c r="L21" s="474"/>
      <c r="M21" s="436"/>
      <c r="N21" s="433"/>
      <c r="O21" s="433"/>
      <c r="P21" s="433"/>
      <c r="Q21" s="433"/>
      <c r="R21" s="433"/>
      <c r="S21" s="433"/>
      <c r="T21" s="433"/>
      <c r="U21" s="433"/>
    </row>
    <row r="22" spans="1:21" s="234" customFormat="1" ht="15" customHeight="1" thickBot="1" x14ac:dyDescent="0.35">
      <c r="A22" s="833"/>
      <c r="B22" s="336"/>
      <c r="C22" s="543" t="s">
        <v>610</v>
      </c>
      <c r="D22" s="544"/>
      <c r="E22" s="544"/>
      <c r="F22" s="545"/>
      <c r="G22" s="478" t="s">
        <v>834</v>
      </c>
      <c r="H22" s="479">
        <f>ROUND(IS*1.6+H24,2)</f>
        <v>0</v>
      </c>
      <c r="I22" s="336"/>
      <c r="K22" s="474"/>
      <c r="L22" s="474"/>
      <c r="M22" s="436"/>
      <c r="N22" s="433"/>
      <c r="O22" s="433"/>
      <c r="P22" s="433"/>
      <c r="Q22" s="433"/>
      <c r="R22" s="433"/>
      <c r="S22" s="433"/>
      <c r="T22" s="433"/>
      <c r="U22" s="433"/>
    </row>
    <row r="23" spans="1:21" s="234" customFormat="1" ht="15" customHeight="1" thickBot="1" x14ac:dyDescent="0.35">
      <c r="A23" s="833"/>
      <c r="B23" s="336"/>
      <c r="C23" s="543" t="s">
        <v>615</v>
      </c>
      <c r="D23" s="544"/>
      <c r="E23" s="544"/>
      <c r="F23" s="545"/>
      <c r="G23" s="478" t="s">
        <v>614</v>
      </c>
      <c r="H23" s="479">
        <f>(1.75*IS+20*'6.2'!H26)</f>
        <v>13</v>
      </c>
      <c r="I23" s="336"/>
      <c r="K23" s="474"/>
      <c r="L23" s="474"/>
      <c r="M23" s="436"/>
      <c r="N23" s="433"/>
      <c r="O23" s="433"/>
      <c r="P23" s="433"/>
      <c r="Q23" s="433"/>
      <c r="R23" s="433"/>
      <c r="S23" s="433"/>
      <c r="T23" s="433"/>
      <c r="U23" s="433"/>
    </row>
    <row r="24" spans="1:21" s="234" customFormat="1" ht="15" customHeight="1" thickBot="1" x14ac:dyDescent="0.35">
      <c r="A24" s="833"/>
      <c r="B24" s="336"/>
      <c r="C24" s="543" t="s">
        <v>831</v>
      </c>
      <c r="D24" s="537"/>
      <c r="E24" s="537"/>
      <c r="F24" s="538"/>
      <c r="G24" s="478" t="s">
        <v>830</v>
      </c>
      <c r="H24" s="479">
        <f>ROUND(IS*0.15,2)</f>
        <v>0</v>
      </c>
      <c r="I24" s="336"/>
      <c r="K24" s="474"/>
      <c r="L24" s="474"/>
      <c r="M24" s="436"/>
      <c r="N24" s="433"/>
      <c r="O24" s="433"/>
      <c r="P24" s="433"/>
      <c r="Q24" s="433"/>
      <c r="R24" s="433"/>
      <c r="S24" s="433"/>
      <c r="T24" s="433"/>
      <c r="U24" s="433"/>
    </row>
    <row r="25" spans="1:21" s="234" customFormat="1" ht="15" customHeight="1" thickBot="1" x14ac:dyDescent="0.35">
      <c r="A25" s="833"/>
      <c r="B25" s="336"/>
      <c r="C25" s="985"/>
      <c r="D25" s="986"/>
      <c r="E25" s="986"/>
      <c r="F25" s="987"/>
      <c r="G25" s="429"/>
      <c r="H25" s="431"/>
      <c r="I25" s="336"/>
      <c r="K25" s="474"/>
      <c r="L25" s="474"/>
      <c r="M25" s="436"/>
      <c r="N25" s="433"/>
      <c r="O25" s="433"/>
      <c r="P25" s="433"/>
      <c r="Q25" s="433"/>
      <c r="R25" s="433"/>
      <c r="S25" s="433"/>
      <c r="T25" s="433"/>
      <c r="U25" s="433"/>
    </row>
    <row r="26" spans="1:21" s="234" customFormat="1" ht="15" customHeight="1" x14ac:dyDescent="0.3">
      <c r="A26" s="833"/>
      <c r="B26" s="336"/>
      <c r="C26" s="336"/>
      <c r="D26" s="336"/>
      <c r="E26" s="336"/>
      <c r="F26" s="336"/>
      <c r="G26" s="336"/>
      <c r="H26" s="336"/>
      <c r="I26" s="336"/>
      <c r="K26" s="474"/>
      <c r="L26" s="474"/>
      <c r="M26" s="436"/>
      <c r="N26" s="433"/>
      <c r="O26" s="433"/>
      <c r="P26" s="433"/>
      <c r="Q26" s="433"/>
      <c r="R26" s="433"/>
      <c r="S26" s="433"/>
      <c r="T26" s="433"/>
      <c r="U26" s="433"/>
    </row>
    <row r="27" spans="1:21" s="234" customFormat="1" ht="15" customHeight="1" x14ac:dyDescent="0.3">
      <c r="A27" s="833"/>
      <c r="B27" s="336"/>
      <c r="C27" s="336"/>
      <c r="D27" s="336"/>
      <c r="E27" s="336"/>
      <c r="F27" s="336"/>
      <c r="G27" s="336"/>
      <c r="H27" s="336"/>
      <c r="I27" s="336"/>
      <c r="K27" s="474"/>
      <c r="L27" s="474"/>
      <c r="M27" s="436"/>
      <c r="N27" s="433"/>
      <c r="O27" s="433"/>
      <c r="P27" s="433"/>
      <c r="Q27" s="433"/>
      <c r="R27" s="433"/>
      <c r="S27" s="433"/>
      <c r="T27" s="433"/>
      <c r="U27" s="433"/>
    </row>
    <row r="28" spans="1:21" s="234" customFormat="1" ht="15" customHeight="1" thickBot="1" x14ac:dyDescent="0.35">
      <c r="A28" s="833"/>
      <c r="B28" s="336"/>
      <c r="C28" s="336" t="s">
        <v>618</v>
      </c>
      <c r="D28" s="336" t="s">
        <v>619</v>
      </c>
      <c r="E28" s="437" t="s">
        <v>617</v>
      </c>
      <c r="F28" s="437" t="s">
        <v>620</v>
      </c>
      <c r="G28" s="437" t="s">
        <v>601</v>
      </c>
      <c r="H28" s="437" t="s">
        <v>616</v>
      </c>
      <c r="I28" s="336"/>
      <c r="K28" s="474"/>
      <c r="L28" s="474"/>
      <c r="M28" s="436"/>
      <c r="N28" s="433"/>
      <c r="O28" s="433"/>
      <c r="P28" s="433"/>
    </row>
    <row r="29" spans="1:21" ht="16" thickBot="1" x14ac:dyDescent="0.4">
      <c r="A29" s="833"/>
      <c r="B29" s="63"/>
      <c r="C29" s="445"/>
      <c r="D29" s="449"/>
      <c r="E29" s="430"/>
      <c r="F29" s="430"/>
      <c r="G29" s="448" t="str">
        <f t="shared" ref="G29:G48" si="0">IF(E29&lt;&gt;"",VLOOKUP(E29,G$5:H$25,2,FALSE),"")</f>
        <v/>
      </c>
      <c r="H29" s="448" t="str">
        <f t="shared" ref="H29:H48" si="1">IF(AND(E29&lt;&gt;"",F29&lt;&gt;"",F29&gt;0),F29*G29,"")</f>
        <v/>
      </c>
      <c r="I29" s="64"/>
      <c r="K29" s="466"/>
      <c r="L29" s="466"/>
      <c r="M29" s="332"/>
      <c r="N29" s="254"/>
      <c r="O29" s="254"/>
      <c r="P29" s="254"/>
    </row>
    <row r="30" spans="1:21" ht="16" thickBot="1" x14ac:dyDescent="0.4">
      <c r="A30" s="833"/>
      <c r="B30" s="330"/>
      <c r="C30" s="445"/>
      <c r="D30" s="449"/>
      <c r="E30" s="430"/>
      <c r="F30" s="430"/>
      <c r="G30" s="448" t="str">
        <f t="shared" si="0"/>
        <v/>
      </c>
      <c r="H30" s="448" t="str">
        <f t="shared" si="1"/>
        <v/>
      </c>
      <c r="I30" s="330"/>
      <c r="K30" s="466"/>
      <c r="L30" s="466"/>
      <c r="M30" s="332"/>
      <c r="N30" s="254"/>
      <c r="O30" s="254"/>
      <c r="P30" s="254"/>
    </row>
    <row r="31" spans="1:21" ht="16" thickBot="1" x14ac:dyDescent="0.4">
      <c r="A31" s="833"/>
      <c r="B31" s="330"/>
      <c r="C31" s="445"/>
      <c r="D31" s="449"/>
      <c r="E31" s="430"/>
      <c r="F31" s="430"/>
      <c r="G31" s="448" t="str">
        <f t="shared" si="0"/>
        <v/>
      </c>
      <c r="H31" s="448" t="str">
        <f t="shared" si="1"/>
        <v/>
      </c>
      <c r="I31" s="330"/>
      <c r="K31" s="466"/>
      <c r="L31" s="466"/>
      <c r="M31" s="332"/>
      <c r="N31" s="254"/>
      <c r="O31" s="254"/>
      <c r="P31" s="254"/>
    </row>
    <row r="32" spans="1:21" ht="16" thickBot="1" x14ac:dyDescent="0.4">
      <c r="A32" s="833"/>
      <c r="B32" s="330"/>
      <c r="C32" s="445"/>
      <c r="D32" s="449"/>
      <c r="E32" s="430"/>
      <c r="F32" s="430"/>
      <c r="G32" s="448" t="str">
        <f t="shared" si="0"/>
        <v/>
      </c>
      <c r="H32" s="448" t="str">
        <f t="shared" si="1"/>
        <v/>
      </c>
      <c r="I32" s="330"/>
      <c r="K32" s="466"/>
      <c r="L32" s="466"/>
      <c r="M32" s="332"/>
      <c r="N32" s="254"/>
      <c r="O32" s="254"/>
      <c r="P32" s="254"/>
    </row>
    <row r="33" spans="1:16" ht="16" thickBot="1" x14ac:dyDescent="0.4">
      <c r="A33" s="833"/>
      <c r="B33" s="330"/>
      <c r="C33" s="445"/>
      <c r="D33" s="449"/>
      <c r="E33" s="430"/>
      <c r="F33" s="430"/>
      <c r="G33" s="448" t="str">
        <f t="shared" si="0"/>
        <v/>
      </c>
      <c r="H33" s="448" t="str">
        <f t="shared" si="1"/>
        <v/>
      </c>
      <c r="I33" s="330"/>
      <c r="K33" s="466"/>
      <c r="L33" s="466"/>
      <c r="M33" s="332"/>
      <c r="N33" s="254"/>
      <c r="O33" s="254"/>
      <c r="P33" s="254"/>
    </row>
    <row r="34" spans="1:16" ht="16" thickBot="1" x14ac:dyDescent="0.4">
      <c r="A34" s="833"/>
      <c r="B34" s="330"/>
      <c r="C34" s="445"/>
      <c r="D34" s="449"/>
      <c r="E34" s="430"/>
      <c r="F34" s="430"/>
      <c r="G34" s="448" t="str">
        <f t="shared" si="0"/>
        <v/>
      </c>
      <c r="H34" s="448" t="str">
        <f t="shared" si="1"/>
        <v/>
      </c>
      <c r="I34" s="330"/>
      <c r="K34" s="466"/>
      <c r="L34" s="466"/>
      <c r="M34" s="332"/>
      <c r="N34" s="254"/>
      <c r="O34" s="254"/>
      <c r="P34" s="254"/>
    </row>
    <row r="35" spans="1:16" ht="16" thickBot="1" x14ac:dyDescent="0.4">
      <c r="A35" s="833"/>
      <c r="B35" s="330"/>
      <c r="C35" s="445"/>
      <c r="D35" s="449"/>
      <c r="E35" s="430"/>
      <c r="F35" s="430"/>
      <c r="G35" s="448" t="str">
        <f t="shared" si="0"/>
        <v/>
      </c>
      <c r="H35" s="448" t="str">
        <f t="shared" si="1"/>
        <v/>
      </c>
      <c r="I35" s="330"/>
      <c r="K35" s="466"/>
      <c r="L35" s="466"/>
      <c r="M35" s="332"/>
      <c r="N35" s="254"/>
      <c r="O35" s="254"/>
      <c r="P35" s="254"/>
    </row>
    <row r="36" spans="1:16" ht="16" thickBot="1" x14ac:dyDescent="0.4">
      <c r="A36" s="833"/>
      <c r="B36" s="330"/>
      <c r="C36" s="445"/>
      <c r="D36" s="449"/>
      <c r="E36" s="430"/>
      <c r="F36" s="430"/>
      <c r="G36" s="448" t="str">
        <f t="shared" si="0"/>
        <v/>
      </c>
      <c r="H36" s="448" t="str">
        <f t="shared" si="1"/>
        <v/>
      </c>
      <c r="I36" s="330"/>
      <c r="K36" s="466"/>
      <c r="L36" s="466"/>
      <c r="M36" s="332"/>
      <c r="N36" s="254"/>
      <c r="O36" s="254"/>
      <c r="P36" s="254"/>
    </row>
    <row r="37" spans="1:16" ht="16" thickBot="1" x14ac:dyDescent="0.4">
      <c r="A37" s="833"/>
      <c r="B37" s="330"/>
      <c r="C37" s="445"/>
      <c r="D37" s="449"/>
      <c r="E37" s="430"/>
      <c r="F37" s="430"/>
      <c r="G37" s="448" t="str">
        <f t="shared" si="0"/>
        <v/>
      </c>
      <c r="H37" s="448" t="str">
        <f t="shared" si="1"/>
        <v/>
      </c>
      <c r="I37" s="330"/>
      <c r="K37" s="466"/>
      <c r="L37" s="466"/>
      <c r="M37" s="332"/>
      <c r="N37" s="254"/>
      <c r="O37" s="254"/>
      <c r="P37" s="254"/>
    </row>
    <row r="38" spans="1:16" ht="16" thickBot="1" x14ac:dyDescent="0.4">
      <c r="A38" s="833"/>
      <c r="B38" s="330"/>
      <c r="C38" s="445"/>
      <c r="D38" s="449"/>
      <c r="E38" s="430"/>
      <c r="F38" s="430"/>
      <c r="G38" s="448" t="str">
        <f t="shared" si="0"/>
        <v/>
      </c>
      <c r="H38" s="448" t="str">
        <f t="shared" si="1"/>
        <v/>
      </c>
      <c r="I38" s="330"/>
      <c r="K38" s="254"/>
      <c r="L38" s="254"/>
      <c r="M38" s="332"/>
      <c r="N38" s="254"/>
      <c r="O38" s="254"/>
      <c r="P38" s="254"/>
    </row>
    <row r="39" spans="1:16" ht="16" thickBot="1" x14ac:dyDescent="0.4">
      <c r="A39" s="833"/>
      <c r="B39" s="330"/>
      <c r="C39" s="445"/>
      <c r="D39" s="449"/>
      <c r="E39" s="430"/>
      <c r="F39" s="430"/>
      <c r="G39" s="448" t="str">
        <f t="shared" si="0"/>
        <v/>
      </c>
      <c r="H39" s="448" t="str">
        <f t="shared" si="1"/>
        <v/>
      </c>
      <c r="I39" s="330"/>
      <c r="K39" s="254"/>
      <c r="L39" s="254"/>
      <c r="M39" s="332"/>
      <c r="N39" s="254"/>
      <c r="O39" s="254"/>
      <c r="P39" s="254"/>
    </row>
    <row r="40" spans="1:16" ht="16" thickBot="1" x14ac:dyDescent="0.4">
      <c r="A40" s="833"/>
      <c r="B40" s="330"/>
      <c r="C40" s="445"/>
      <c r="D40" s="449"/>
      <c r="E40" s="430"/>
      <c r="F40" s="430"/>
      <c r="G40" s="448" t="str">
        <f t="shared" si="0"/>
        <v/>
      </c>
      <c r="H40" s="448" t="str">
        <f t="shared" si="1"/>
        <v/>
      </c>
      <c r="I40" s="330"/>
      <c r="K40" s="254"/>
      <c r="L40" s="254"/>
      <c r="M40" s="332"/>
      <c r="N40" s="254"/>
      <c r="O40" s="254"/>
      <c r="P40" s="254"/>
    </row>
    <row r="41" spans="1:16" ht="16" thickBot="1" x14ac:dyDescent="0.4">
      <c r="A41" s="833"/>
      <c r="B41" s="330"/>
      <c r="C41" s="445"/>
      <c r="D41" s="449"/>
      <c r="E41" s="430"/>
      <c r="F41" s="430"/>
      <c r="G41" s="448" t="str">
        <f t="shared" si="0"/>
        <v/>
      </c>
      <c r="H41" s="448" t="str">
        <f t="shared" si="1"/>
        <v/>
      </c>
      <c r="I41" s="330"/>
      <c r="K41" s="254"/>
      <c r="L41" s="254"/>
      <c r="M41" s="332"/>
      <c r="N41" s="254"/>
      <c r="O41" s="254"/>
      <c r="P41" s="254"/>
    </row>
    <row r="42" spans="1:16" ht="16" thickBot="1" x14ac:dyDescent="0.4">
      <c r="A42" s="833"/>
      <c r="B42" s="330"/>
      <c r="C42" s="445"/>
      <c r="D42" s="449"/>
      <c r="E42" s="430"/>
      <c r="F42" s="430"/>
      <c r="G42" s="448" t="str">
        <f t="shared" si="0"/>
        <v/>
      </c>
      <c r="H42" s="448" t="str">
        <f t="shared" si="1"/>
        <v/>
      </c>
      <c r="I42" s="330"/>
      <c r="K42" s="254"/>
      <c r="L42" s="254"/>
      <c r="M42" s="332"/>
      <c r="N42" s="254"/>
      <c r="O42" s="254"/>
      <c r="P42" s="254"/>
    </row>
    <row r="43" spans="1:16" ht="16" thickBot="1" x14ac:dyDescent="0.4">
      <c r="A43" s="833"/>
      <c r="B43" s="330"/>
      <c r="C43" s="445"/>
      <c r="D43" s="449"/>
      <c r="E43" s="430"/>
      <c r="F43" s="430"/>
      <c r="G43" s="448" t="str">
        <f t="shared" si="0"/>
        <v/>
      </c>
      <c r="H43" s="448" t="str">
        <f t="shared" si="1"/>
        <v/>
      </c>
      <c r="I43" s="330"/>
      <c r="K43" s="254"/>
      <c r="L43" s="254"/>
      <c r="M43" s="332"/>
      <c r="N43" s="254"/>
      <c r="O43" s="254"/>
      <c r="P43" s="254"/>
    </row>
    <row r="44" spans="1:16" ht="16" thickBot="1" x14ac:dyDescent="0.4">
      <c r="A44" s="833"/>
      <c r="B44" s="330"/>
      <c r="C44" s="445"/>
      <c r="D44" s="449"/>
      <c r="E44" s="430"/>
      <c r="F44" s="430"/>
      <c r="G44" s="448" t="str">
        <f t="shared" si="0"/>
        <v/>
      </c>
      <c r="H44" s="448" t="str">
        <f t="shared" si="1"/>
        <v/>
      </c>
      <c r="I44" s="330"/>
      <c r="K44" s="254"/>
      <c r="L44" s="254"/>
      <c r="M44" s="332"/>
      <c r="N44" s="254"/>
      <c r="O44" s="254"/>
      <c r="P44" s="254"/>
    </row>
    <row r="45" spans="1:16" ht="16" thickBot="1" x14ac:dyDescent="0.4">
      <c r="A45" s="833"/>
      <c r="B45" s="330"/>
      <c r="C45" s="445"/>
      <c r="D45" s="449"/>
      <c r="E45" s="430"/>
      <c r="F45" s="430"/>
      <c r="G45" s="448" t="str">
        <f t="shared" si="0"/>
        <v/>
      </c>
      <c r="H45" s="448" t="str">
        <f t="shared" si="1"/>
        <v/>
      </c>
      <c r="I45" s="330"/>
      <c r="K45" s="254"/>
      <c r="L45" s="254"/>
      <c r="M45" s="332"/>
      <c r="N45" s="254"/>
      <c r="O45" s="254"/>
      <c r="P45" s="254"/>
    </row>
    <row r="46" spans="1:16" ht="16" thickBot="1" x14ac:dyDescent="0.4">
      <c r="A46" s="833"/>
      <c r="B46" s="330"/>
      <c r="C46" s="445"/>
      <c r="D46" s="449"/>
      <c r="E46" s="430"/>
      <c r="F46" s="430"/>
      <c r="G46" s="448" t="str">
        <f t="shared" si="0"/>
        <v/>
      </c>
      <c r="H46" s="448" t="str">
        <f t="shared" si="1"/>
        <v/>
      </c>
      <c r="I46" s="330"/>
      <c r="K46" s="254"/>
      <c r="L46" s="254"/>
      <c r="M46" s="332"/>
      <c r="N46" s="254"/>
      <c r="O46" s="254"/>
      <c r="P46" s="254"/>
    </row>
    <row r="47" spans="1:16" ht="16" thickBot="1" x14ac:dyDescent="0.4">
      <c r="A47" s="833"/>
      <c r="B47" s="330"/>
      <c r="C47" s="445"/>
      <c r="D47" s="449"/>
      <c r="E47" s="430"/>
      <c r="F47" s="430"/>
      <c r="G47" s="448" t="str">
        <f t="shared" si="0"/>
        <v/>
      </c>
      <c r="H47" s="448" t="str">
        <f t="shared" si="1"/>
        <v/>
      </c>
      <c r="I47" s="330"/>
      <c r="K47" s="254"/>
      <c r="L47" s="254"/>
      <c r="M47" s="332"/>
      <c r="N47" s="254"/>
      <c r="O47" s="254"/>
      <c r="P47" s="254"/>
    </row>
    <row r="48" spans="1:16" ht="16" thickBot="1" x14ac:dyDescent="0.4">
      <c r="A48" s="833"/>
      <c r="B48" s="330"/>
      <c r="C48" s="445"/>
      <c r="D48" s="449"/>
      <c r="E48" s="430"/>
      <c r="F48" s="430"/>
      <c r="G48" s="448" t="str">
        <f t="shared" si="0"/>
        <v/>
      </c>
      <c r="H48" s="448" t="str">
        <f t="shared" si="1"/>
        <v/>
      </c>
      <c r="I48" s="330"/>
      <c r="K48" s="254"/>
      <c r="L48" s="254"/>
      <c r="M48" s="332"/>
      <c r="N48" s="254"/>
      <c r="O48" s="254"/>
      <c r="P48" s="254"/>
    </row>
    <row r="49" spans="1:16" ht="16" thickBot="1" x14ac:dyDescent="0.4">
      <c r="A49" s="833"/>
      <c r="B49" s="330"/>
      <c r="C49" s="330"/>
      <c r="D49" s="330"/>
      <c r="E49" s="330"/>
      <c r="F49" s="330"/>
      <c r="G49" s="330"/>
      <c r="H49" s="450" t="str">
        <f>IF(VSK&lt;&gt;0, SUM(H29:H48),"")</f>
        <v/>
      </c>
      <c r="I49" s="330"/>
      <c r="K49" s="254"/>
      <c r="L49" s="254"/>
      <c r="M49" s="332"/>
      <c r="N49" s="254"/>
      <c r="O49" s="254"/>
      <c r="P49" s="254"/>
    </row>
    <row r="50" spans="1:16" ht="15.5" x14ac:dyDescent="0.35">
      <c r="A50" s="833"/>
      <c r="B50" s="46"/>
      <c r="C50" s="317"/>
      <c r="D50" s="318"/>
      <c r="E50" s="317"/>
      <c r="F50" s="592" t="s">
        <v>633</v>
      </c>
      <c r="G50" s="317"/>
      <c r="H50" s="319"/>
      <c r="I50" s="47"/>
      <c r="K50" s="254"/>
      <c r="L50" s="254"/>
      <c r="M50" s="332"/>
      <c r="N50" s="254"/>
      <c r="O50" s="254"/>
      <c r="P50" s="254"/>
    </row>
    <row r="51" spans="1:16" ht="15.5" x14ac:dyDescent="0.35">
      <c r="A51" s="833"/>
      <c r="B51" s="46"/>
      <c r="C51" s="47" t="s">
        <v>34</v>
      </c>
      <c r="D51" s="47"/>
      <c r="E51" s="320"/>
      <c r="F51" s="899"/>
      <c r="G51" s="900"/>
      <c r="H51" s="901"/>
      <c r="I51" s="47"/>
      <c r="K51" s="254"/>
      <c r="L51" s="254"/>
      <c r="M51" s="254"/>
      <c r="N51" s="254"/>
      <c r="O51" s="254"/>
      <c r="P51" s="254"/>
    </row>
    <row r="52" spans="1:16" ht="15.5" x14ac:dyDescent="0.35">
      <c r="A52" s="833"/>
      <c r="B52" s="46"/>
      <c r="C52" s="47" t="s">
        <v>722</v>
      </c>
      <c r="D52" s="47"/>
      <c r="E52" s="604"/>
      <c r="F52" s="868"/>
      <c r="G52" s="895"/>
      <c r="H52" s="869"/>
      <c r="I52" s="47"/>
    </row>
    <row r="53" spans="1:16" ht="15.5" x14ac:dyDescent="0.35">
      <c r="A53" s="833"/>
      <c r="B53" s="46"/>
      <c r="C53" s="47"/>
      <c r="D53" s="47"/>
      <c r="E53" s="53"/>
      <c r="F53" s="47"/>
      <c r="G53" s="46"/>
      <c r="H53" s="46"/>
      <c r="I53" s="45"/>
    </row>
    <row r="54" spans="1:16" ht="21" x14ac:dyDescent="0.5">
      <c r="A54" s="833"/>
      <c r="B54" s="45"/>
      <c r="C54" s="54" t="str">
        <f>IF(VSK=0, "UNVOLLSTÄNDIG AUSGEFÜLLT!","")</f>
        <v>UNVOLLSTÄNDIG AUSGEFÜLLT!</v>
      </c>
      <c r="D54" s="45"/>
      <c r="E54" s="438">
        <f>IF(SUM(H29:H48)&gt;0,1,0)</f>
        <v>0</v>
      </c>
      <c r="F54" s="45"/>
      <c r="G54" s="852" t="str">
        <f>IF(VSK&lt;&gt;0, G94,"")</f>
        <v/>
      </c>
      <c r="H54" s="852"/>
      <c r="I54" s="45"/>
      <c r="P54" s="254"/>
    </row>
    <row r="55" spans="1:16" ht="15.5" x14ac:dyDescent="0.35">
      <c r="A55" s="833"/>
      <c r="B55" s="45"/>
      <c r="C55" s="45"/>
      <c r="D55" s="45"/>
      <c r="E55" s="45"/>
      <c r="F55" s="45"/>
      <c r="G55" s="45"/>
      <c r="H55" s="45"/>
      <c r="I55" s="45"/>
    </row>
    <row r="56" spans="1:16" ht="15" customHeight="1" x14ac:dyDescent="0.35">
      <c r="A56" s="983" t="s">
        <v>66</v>
      </c>
      <c r="I56" s="577" t="str">
        <f ca="1">IF(VLOOKUP(B62,CHOOSE({5,4,3,2,1},Gesamt!L32:L65,Gesamt!M32:M65,Gesamt!N32:N65,Gesamt!O32:O65,Gesamt!P32:P65,),4,0)&gt;0,CONCATENATE("Pos. ",VLOOKUP(B62,CHOOSE({5,4,3,2,1},Gesamt!L32:L65,Gesamt!M32:M65,Gesamt!N32:N65,Gesamt!O32:O65,Gesamt!P32:P65,),VLOOKUP(Gesamt!C19,Gesamt!L5:N7,3,0),0)),"")</f>
        <v/>
      </c>
    </row>
    <row r="57" spans="1:16" x14ac:dyDescent="0.35">
      <c r="A57" s="983"/>
      <c r="B57" s="831" t="str">
        <f>CONCATENATE(Gesamt!C2, ": ", Gesamt!E2)</f>
        <v xml:space="preserve">Projekt: </v>
      </c>
      <c r="C57" s="831"/>
      <c r="D57" s="831"/>
      <c r="E57" s="831"/>
      <c r="F57" s="831"/>
      <c r="G57" s="831"/>
      <c r="H57" s="831"/>
      <c r="I57" s="831"/>
    </row>
    <row r="58" spans="1:16" x14ac:dyDescent="0.35">
      <c r="A58" s="983"/>
      <c r="B58" s="832" t="str">
        <f>CONCATENATE(Gesamt!C4, ": ", Gesamt!E4, IF(Gesamt!E5&lt;&gt;""," - ",""), IF(Gesamt!E5&lt;&gt;"",Gesamt!E5,""), IF(Gesamt!E6&lt;&gt;""," - GZ. ",""), IF(Gesamt!E6&lt;&gt;"",Gesamt!E6,""),)</f>
        <v xml:space="preserve">Auftraggeber: </v>
      </c>
      <c r="C58" s="832"/>
      <c r="D58" s="832"/>
      <c r="E58" s="832"/>
      <c r="F58" s="832"/>
      <c r="G58" s="832"/>
      <c r="H58" s="832"/>
      <c r="I58" s="832"/>
    </row>
    <row r="59" spans="1:16" x14ac:dyDescent="0.35">
      <c r="A59" s="983"/>
      <c r="B59" s="832" t="str">
        <f>CONCATENATE(Gesamt!C9, ": ",Gesamt!E9,  IF(Gesamt!C10&lt;&gt;""," - ",""), IF(Gesamt!C10&lt;&gt;"",Gesamt!E10,""), IF(Gesamt!C11&lt;&gt;""," - GZ. ",""), IF(Gesamt!C11&lt;&gt;"",Gesamt!E11,""), )</f>
        <v xml:space="preserve">Bieter:  -  - GZ. </v>
      </c>
      <c r="C59" s="832"/>
      <c r="D59" s="832"/>
      <c r="E59" s="832"/>
      <c r="F59" s="832"/>
      <c r="G59" s="832"/>
      <c r="H59" s="832"/>
      <c r="I59" s="832"/>
    </row>
    <row r="60" spans="1:16" x14ac:dyDescent="0.35">
      <c r="A60" s="983"/>
      <c r="B60" s="832" t="s">
        <v>41</v>
      </c>
      <c r="C60" s="832"/>
      <c r="D60" s="832"/>
      <c r="E60" s="832"/>
      <c r="F60" s="832"/>
      <c r="G60" s="832"/>
      <c r="H60" s="832"/>
      <c r="I60" s="832"/>
    </row>
    <row r="61" spans="1:16" x14ac:dyDescent="0.35">
      <c r="A61" s="983"/>
    </row>
    <row r="62" spans="1:16" ht="18.5" x14ac:dyDescent="0.35">
      <c r="A62" s="983"/>
      <c r="B62" s="984" t="str">
        <f>C2</f>
        <v>Kanzleihonorare</v>
      </c>
      <c r="C62" s="984"/>
      <c r="D62" s="984"/>
      <c r="E62" s="984"/>
      <c r="F62" s="984"/>
      <c r="G62" s="984"/>
      <c r="H62" s="984"/>
      <c r="I62" s="984"/>
    </row>
    <row r="63" spans="1:16" x14ac:dyDescent="0.35">
      <c r="A63" s="983"/>
    </row>
    <row r="64" spans="1:16" x14ac:dyDescent="0.35">
      <c r="A64" s="983"/>
      <c r="C64" t="s">
        <v>714</v>
      </c>
    </row>
    <row r="65" spans="1:15" x14ac:dyDescent="0.35">
      <c r="A65" s="983"/>
    </row>
    <row r="66" spans="1:15" x14ac:dyDescent="0.35">
      <c r="A66" s="983"/>
      <c r="C66" t="s">
        <v>959</v>
      </c>
      <c r="E66" s="243">
        <f>IS</f>
        <v>0</v>
      </c>
    </row>
    <row r="67" spans="1:15" x14ac:dyDescent="0.35">
      <c r="A67" s="983"/>
      <c r="C67" s="15"/>
    </row>
    <row r="68" spans="1:15" x14ac:dyDescent="0.35">
      <c r="A68" s="983"/>
      <c r="C68" s="442" t="s">
        <v>618</v>
      </c>
      <c r="D68" s="442" t="s">
        <v>619</v>
      </c>
      <c r="E68" s="443" t="s">
        <v>617</v>
      </c>
      <c r="F68" s="443" t="s">
        <v>620</v>
      </c>
      <c r="G68" s="443" t="s">
        <v>601</v>
      </c>
      <c r="H68" s="443" t="s">
        <v>616</v>
      </c>
    </row>
    <row r="69" spans="1:15" x14ac:dyDescent="0.35">
      <c r="A69" s="983"/>
      <c r="C69" s="446" t="str">
        <f>IF(C29&lt;&gt;"",C29,"")</f>
        <v/>
      </c>
      <c r="D69" s="440" t="str">
        <f t="shared" ref="D69:H69" si="2">IF(D29&lt;&gt;"",D29,"")</f>
        <v/>
      </c>
      <c r="E69" s="439" t="str">
        <f t="shared" si="2"/>
        <v/>
      </c>
      <c r="F69" s="439" t="str">
        <f t="shared" si="2"/>
        <v/>
      </c>
      <c r="G69" s="444" t="str">
        <f t="shared" si="2"/>
        <v/>
      </c>
      <c r="H69" s="441" t="str">
        <f t="shared" si="2"/>
        <v/>
      </c>
      <c r="K69" s="835" t="s">
        <v>626</v>
      </c>
      <c r="L69" s="879"/>
      <c r="M69" s="879"/>
      <c r="N69" s="879"/>
      <c r="O69" s="880"/>
    </row>
    <row r="70" spans="1:15" x14ac:dyDescent="0.35">
      <c r="A70" s="983"/>
      <c r="C70" s="446" t="str">
        <f t="shared" ref="C70:H85" si="3">IF(C30&lt;&gt;"",C30,"")</f>
        <v/>
      </c>
      <c r="D70" s="440" t="str">
        <f t="shared" si="3"/>
        <v/>
      </c>
      <c r="E70" s="439" t="str">
        <f t="shared" si="3"/>
        <v/>
      </c>
      <c r="F70" s="439" t="str">
        <f t="shared" si="3"/>
        <v/>
      </c>
      <c r="G70" s="444" t="str">
        <f t="shared" si="3"/>
        <v/>
      </c>
      <c r="H70" s="441" t="str">
        <f t="shared" si="3"/>
        <v/>
      </c>
      <c r="K70" s="881"/>
      <c r="L70" s="882"/>
      <c r="M70" s="882"/>
      <c r="N70" s="882"/>
      <c r="O70" s="883"/>
    </row>
    <row r="71" spans="1:15" x14ac:dyDescent="0.35">
      <c r="A71" s="983"/>
      <c r="C71" s="446" t="str">
        <f t="shared" si="3"/>
        <v/>
      </c>
      <c r="D71" s="440" t="str">
        <f t="shared" si="3"/>
        <v/>
      </c>
      <c r="E71" s="439" t="str">
        <f t="shared" si="3"/>
        <v/>
      </c>
      <c r="F71" s="439" t="str">
        <f t="shared" si="3"/>
        <v/>
      </c>
      <c r="G71" s="444" t="str">
        <f t="shared" si="3"/>
        <v/>
      </c>
      <c r="H71" s="441" t="str">
        <f t="shared" si="3"/>
        <v/>
      </c>
      <c r="K71" s="881"/>
      <c r="L71" s="882"/>
      <c r="M71" s="882"/>
      <c r="N71" s="882"/>
      <c r="O71" s="883"/>
    </row>
    <row r="72" spans="1:15" x14ac:dyDescent="0.35">
      <c r="A72" s="983"/>
      <c r="C72" s="446" t="str">
        <f t="shared" si="3"/>
        <v/>
      </c>
      <c r="D72" s="440" t="str">
        <f t="shared" si="3"/>
        <v/>
      </c>
      <c r="E72" s="439" t="str">
        <f t="shared" si="3"/>
        <v/>
      </c>
      <c r="F72" s="439" t="str">
        <f t="shared" si="3"/>
        <v/>
      </c>
      <c r="G72" s="444" t="str">
        <f t="shared" si="3"/>
        <v/>
      </c>
      <c r="H72" s="441" t="str">
        <f t="shared" si="3"/>
        <v/>
      </c>
      <c r="K72" s="881"/>
      <c r="L72" s="882"/>
      <c r="M72" s="882"/>
      <c r="N72" s="882"/>
      <c r="O72" s="883"/>
    </row>
    <row r="73" spans="1:15" x14ac:dyDescent="0.35">
      <c r="A73" s="983"/>
      <c r="C73" s="446" t="str">
        <f t="shared" si="3"/>
        <v/>
      </c>
      <c r="D73" s="440" t="str">
        <f t="shared" si="3"/>
        <v/>
      </c>
      <c r="E73" s="439" t="str">
        <f t="shared" si="3"/>
        <v/>
      </c>
      <c r="F73" s="439" t="str">
        <f t="shared" si="3"/>
        <v/>
      </c>
      <c r="G73" s="444" t="str">
        <f t="shared" si="3"/>
        <v/>
      </c>
      <c r="H73" s="441" t="str">
        <f t="shared" si="3"/>
        <v/>
      </c>
      <c r="K73" s="884"/>
      <c r="L73" s="885"/>
      <c r="M73" s="885"/>
      <c r="N73" s="885"/>
      <c r="O73" s="886"/>
    </row>
    <row r="74" spans="1:15" x14ac:dyDescent="0.35">
      <c r="A74" s="983"/>
      <c r="C74" s="446" t="str">
        <f t="shared" si="3"/>
        <v/>
      </c>
      <c r="D74" s="440" t="str">
        <f t="shared" si="3"/>
        <v/>
      </c>
      <c r="E74" s="439" t="str">
        <f t="shared" si="3"/>
        <v/>
      </c>
      <c r="F74" s="439" t="str">
        <f t="shared" si="3"/>
        <v/>
      </c>
      <c r="G74" s="444" t="str">
        <f t="shared" si="3"/>
        <v/>
      </c>
      <c r="H74" s="441" t="str">
        <f t="shared" si="3"/>
        <v/>
      </c>
    </row>
    <row r="75" spans="1:15" x14ac:dyDescent="0.35">
      <c r="A75" s="983"/>
      <c r="C75" s="446" t="str">
        <f t="shared" si="3"/>
        <v/>
      </c>
      <c r="D75" s="440" t="str">
        <f t="shared" si="3"/>
        <v/>
      </c>
      <c r="E75" s="439" t="str">
        <f t="shared" si="3"/>
        <v/>
      </c>
      <c r="F75" s="439" t="str">
        <f t="shared" si="3"/>
        <v/>
      </c>
      <c r="G75" s="444" t="str">
        <f t="shared" si="3"/>
        <v/>
      </c>
      <c r="H75" s="441" t="str">
        <f t="shared" si="3"/>
        <v/>
      </c>
    </row>
    <row r="76" spans="1:15" x14ac:dyDescent="0.35">
      <c r="A76" s="983"/>
      <c r="C76" s="446" t="str">
        <f t="shared" si="3"/>
        <v/>
      </c>
      <c r="D76" s="440" t="str">
        <f t="shared" si="3"/>
        <v/>
      </c>
      <c r="E76" s="439" t="str">
        <f t="shared" si="3"/>
        <v/>
      </c>
      <c r="F76" s="439" t="str">
        <f t="shared" si="3"/>
        <v/>
      </c>
      <c r="G76" s="444" t="str">
        <f t="shared" si="3"/>
        <v/>
      </c>
      <c r="H76" s="441" t="str">
        <f t="shared" si="3"/>
        <v/>
      </c>
    </row>
    <row r="77" spans="1:15" x14ac:dyDescent="0.35">
      <c r="A77" s="983"/>
      <c r="C77" s="446" t="str">
        <f t="shared" si="3"/>
        <v/>
      </c>
      <c r="D77" s="440" t="str">
        <f t="shared" si="3"/>
        <v/>
      </c>
      <c r="E77" s="439" t="str">
        <f t="shared" si="3"/>
        <v/>
      </c>
      <c r="F77" s="439" t="str">
        <f t="shared" si="3"/>
        <v/>
      </c>
      <c r="G77" s="444" t="str">
        <f t="shared" si="3"/>
        <v/>
      </c>
      <c r="H77" s="441" t="str">
        <f t="shared" si="3"/>
        <v/>
      </c>
    </row>
    <row r="78" spans="1:15" x14ac:dyDescent="0.35">
      <c r="A78" s="983"/>
      <c r="C78" s="446" t="str">
        <f t="shared" si="3"/>
        <v/>
      </c>
      <c r="D78" s="440" t="str">
        <f t="shared" si="3"/>
        <v/>
      </c>
      <c r="E78" s="439" t="str">
        <f t="shared" si="3"/>
        <v/>
      </c>
      <c r="F78" s="439" t="str">
        <f t="shared" si="3"/>
        <v/>
      </c>
      <c r="G78" s="444" t="str">
        <f t="shared" si="3"/>
        <v/>
      </c>
      <c r="H78" s="441" t="str">
        <f t="shared" si="3"/>
        <v/>
      </c>
    </row>
    <row r="79" spans="1:15" x14ac:dyDescent="0.35">
      <c r="A79" s="983"/>
      <c r="C79" s="446" t="str">
        <f t="shared" si="3"/>
        <v/>
      </c>
      <c r="D79" s="440" t="str">
        <f t="shared" si="3"/>
        <v/>
      </c>
      <c r="E79" s="439" t="str">
        <f t="shared" si="3"/>
        <v/>
      </c>
      <c r="F79" s="439" t="str">
        <f t="shared" si="3"/>
        <v/>
      </c>
      <c r="G79" s="444" t="str">
        <f t="shared" si="3"/>
        <v/>
      </c>
      <c r="H79" s="441" t="str">
        <f t="shared" si="3"/>
        <v/>
      </c>
    </row>
    <row r="80" spans="1:15" x14ac:dyDescent="0.35">
      <c r="A80" s="983"/>
      <c r="C80" s="446" t="str">
        <f t="shared" si="3"/>
        <v/>
      </c>
      <c r="D80" s="440" t="str">
        <f t="shared" si="3"/>
        <v/>
      </c>
      <c r="E80" s="439" t="str">
        <f t="shared" si="3"/>
        <v/>
      </c>
      <c r="F80" s="439" t="str">
        <f t="shared" si="3"/>
        <v/>
      </c>
      <c r="G80" s="444" t="str">
        <f t="shared" si="3"/>
        <v/>
      </c>
      <c r="H80" s="441" t="str">
        <f t="shared" si="3"/>
        <v/>
      </c>
    </row>
    <row r="81" spans="1:9" x14ac:dyDescent="0.35">
      <c r="A81" s="983"/>
      <c r="C81" s="446" t="str">
        <f t="shared" si="3"/>
        <v/>
      </c>
      <c r="D81" s="440" t="str">
        <f t="shared" si="3"/>
        <v/>
      </c>
      <c r="E81" s="439" t="str">
        <f t="shared" si="3"/>
        <v/>
      </c>
      <c r="F81" s="439" t="str">
        <f t="shared" si="3"/>
        <v/>
      </c>
      <c r="G81" s="444" t="str">
        <f t="shared" si="3"/>
        <v/>
      </c>
      <c r="H81" s="441" t="str">
        <f t="shared" si="3"/>
        <v/>
      </c>
    </row>
    <row r="82" spans="1:9" x14ac:dyDescent="0.35">
      <c r="A82" s="983"/>
      <c r="C82" s="446" t="str">
        <f t="shared" si="3"/>
        <v/>
      </c>
      <c r="D82" s="440" t="str">
        <f t="shared" si="3"/>
        <v/>
      </c>
      <c r="E82" s="439" t="str">
        <f t="shared" si="3"/>
        <v/>
      </c>
      <c r="F82" s="439" t="str">
        <f t="shared" si="3"/>
        <v/>
      </c>
      <c r="G82" s="444" t="str">
        <f t="shared" si="3"/>
        <v/>
      </c>
      <c r="H82" s="441" t="str">
        <f t="shared" si="3"/>
        <v/>
      </c>
    </row>
    <row r="83" spans="1:9" x14ac:dyDescent="0.35">
      <c r="A83" s="983"/>
      <c r="B83" s="3"/>
      <c r="C83" s="446" t="str">
        <f t="shared" si="3"/>
        <v/>
      </c>
      <c r="D83" s="440" t="str">
        <f t="shared" si="3"/>
        <v/>
      </c>
      <c r="E83" s="439" t="str">
        <f t="shared" si="3"/>
        <v/>
      </c>
      <c r="F83" s="439" t="str">
        <f t="shared" si="3"/>
        <v/>
      </c>
      <c r="G83" s="444" t="str">
        <f t="shared" si="3"/>
        <v/>
      </c>
      <c r="H83" s="441" t="str">
        <f t="shared" si="3"/>
        <v/>
      </c>
    </row>
    <row r="84" spans="1:9" x14ac:dyDescent="0.35">
      <c r="A84" s="983"/>
      <c r="C84" s="446" t="str">
        <f t="shared" si="3"/>
        <v/>
      </c>
      <c r="D84" s="440" t="str">
        <f t="shared" si="3"/>
        <v/>
      </c>
      <c r="E84" s="439" t="str">
        <f t="shared" si="3"/>
        <v/>
      </c>
      <c r="F84" s="439" t="str">
        <f t="shared" si="3"/>
        <v/>
      </c>
      <c r="G84" s="444" t="str">
        <f t="shared" si="3"/>
        <v/>
      </c>
      <c r="H84" s="441" t="str">
        <f t="shared" si="3"/>
        <v/>
      </c>
    </row>
    <row r="85" spans="1:9" x14ac:dyDescent="0.35">
      <c r="A85" s="983"/>
      <c r="C85" s="446" t="str">
        <f t="shared" si="3"/>
        <v/>
      </c>
      <c r="D85" s="440" t="str">
        <f t="shared" si="3"/>
        <v/>
      </c>
      <c r="E85" s="439" t="str">
        <f t="shared" si="3"/>
        <v/>
      </c>
      <c r="F85" s="439" t="str">
        <f t="shared" si="3"/>
        <v/>
      </c>
      <c r="G85" s="444" t="str">
        <f t="shared" si="3"/>
        <v/>
      </c>
      <c r="H85" s="441" t="str">
        <f t="shared" si="3"/>
        <v/>
      </c>
    </row>
    <row r="86" spans="1:9" x14ac:dyDescent="0.35">
      <c r="A86" s="983"/>
      <c r="C86" s="446" t="str">
        <f t="shared" ref="C86:H88" si="4">IF(C46&lt;&gt;"",C46,"")</f>
        <v/>
      </c>
      <c r="D86" s="440" t="str">
        <f t="shared" si="4"/>
        <v/>
      </c>
      <c r="E86" s="439" t="str">
        <f t="shared" si="4"/>
        <v/>
      </c>
      <c r="F86" s="439" t="str">
        <f t="shared" si="4"/>
        <v/>
      </c>
      <c r="G86" s="444" t="str">
        <f t="shared" si="4"/>
        <v/>
      </c>
      <c r="H86" s="441" t="str">
        <f t="shared" si="4"/>
        <v/>
      </c>
    </row>
    <row r="87" spans="1:9" x14ac:dyDescent="0.35">
      <c r="A87" s="983"/>
      <c r="C87" s="446" t="str">
        <f t="shared" si="4"/>
        <v/>
      </c>
      <c r="D87" s="440" t="str">
        <f t="shared" si="4"/>
        <v/>
      </c>
      <c r="E87" s="439" t="str">
        <f t="shared" si="4"/>
        <v/>
      </c>
      <c r="F87" s="439" t="str">
        <f t="shared" si="4"/>
        <v/>
      </c>
      <c r="G87" s="444" t="str">
        <f t="shared" si="4"/>
        <v/>
      </c>
      <c r="H87" s="441" t="str">
        <f t="shared" si="4"/>
        <v/>
      </c>
    </row>
    <row r="88" spans="1:9" x14ac:dyDescent="0.35">
      <c r="A88" s="983"/>
      <c r="C88" s="446" t="str">
        <f t="shared" si="4"/>
        <v/>
      </c>
      <c r="D88" s="291" t="str">
        <f t="shared" si="4"/>
        <v/>
      </c>
      <c r="E88" s="439" t="str">
        <f t="shared" si="4"/>
        <v/>
      </c>
      <c r="F88" s="439" t="str">
        <f t="shared" si="4"/>
        <v/>
      </c>
      <c r="G88" s="444" t="str">
        <f t="shared" si="4"/>
        <v/>
      </c>
      <c r="H88" s="441" t="str">
        <f t="shared" si="4"/>
        <v/>
      </c>
    </row>
    <row r="89" spans="1:9" x14ac:dyDescent="0.35">
      <c r="A89" s="983"/>
      <c r="C89" s="447"/>
      <c r="D89" s="447"/>
      <c r="E89" s="447"/>
      <c r="F89" s="447"/>
      <c r="G89" s="892" t="str">
        <f>IF(VSK&lt;&gt;0, SUM(H69:H88),"")</f>
        <v/>
      </c>
      <c r="H89" s="892"/>
    </row>
    <row r="90" spans="1:9" x14ac:dyDescent="0.35">
      <c r="A90" s="983"/>
    </row>
    <row r="91" spans="1:9" x14ac:dyDescent="0.35">
      <c r="A91" s="983"/>
      <c r="B91" s="3"/>
      <c r="C91" t="str">
        <f>IF(AND(ZuAbschlag&lt;&gt;0,VSK&lt;&gt;0),"Zu-/Abschlag:","")</f>
        <v/>
      </c>
      <c r="E91" s="15" t="str">
        <f>IF(AND(ZuAbschlag&lt;&gt;0,VSK&lt;&gt;0),ZuAbschlag,"")</f>
        <v/>
      </c>
      <c r="F91" s="481" t="str">
        <f>IF(AND(ZuAbschlag&lt;&gt;0,VSK&lt;&gt;0),G89*E91,"")</f>
        <v/>
      </c>
      <c r="G91" s="1" t="str">
        <f>IF(AND(ZuAbschlag&lt;&gt;0,VSK&lt;&gt;0,F51&lt;&gt;""),F51,"")</f>
        <v/>
      </c>
    </row>
    <row r="92" spans="1:9" ht="15.5" x14ac:dyDescent="0.35">
      <c r="A92" s="983"/>
      <c r="C92" t="str">
        <f>IF(AND(NK&lt;&gt;0,VSK&lt;&gt;0),"Nebenkosten:","")</f>
        <v/>
      </c>
      <c r="F92" s="481" t="str">
        <f>IF(AND(NK&lt;&gt;0,VSK&lt;&gt;0),NK,"")</f>
        <v/>
      </c>
      <c r="G92" s="1" t="str">
        <f>IF(AND(NK&lt;&gt;0,VSK&lt;&gt;0,F52&lt;&gt;""),F52,"")</f>
        <v/>
      </c>
      <c r="I92" s="16"/>
    </row>
    <row r="93" spans="1:9" x14ac:dyDescent="0.35">
      <c r="A93" s="983"/>
    </row>
    <row r="94" spans="1:9" ht="15.5" x14ac:dyDescent="0.35">
      <c r="A94" s="983"/>
      <c r="C94" s="16" t="s">
        <v>65</v>
      </c>
      <c r="D94" s="16"/>
      <c r="E94" s="16"/>
      <c r="F94" s="16"/>
      <c r="G94" s="893">
        <f>IF(VSK&gt;0,SUM(F92,F91,G89),0)</f>
        <v>0</v>
      </c>
      <c r="H94" s="894"/>
    </row>
    <row r="95" spans="1:9" x14ac:dyDescent="0.35">
      <c r="A95" s="983"/>
    </row>
    <row r="96" spans="1:9" x14ac:dyDescent="0.35">
      <c r="A96" s="983"/>
    </row>
    <row r="97" spans="1:1" x14ac:dyDescent="0.35">
      <c r="A97" s="983"/>
    </row>
  </sheetData>
  <mergeCells count="21">
    <mergeCell ref="K69:O73"/>
    <mergeCell ref="G89:H89"/>
    <mergeCell ref="G94:H94"/>
    <mergeCell ref="C6:F6"/>
    <mergeCell ref="C7:F7"/>
    <mergeCell ref="C8:F8"/>
    <mergeCell ref="C9:F9"/>
    <mergeCell ref="C10:F10"/>
    <mergeCell ref="F51:H51"/>
    <mergeCell ref="F52:H52"/>
    <mergeCell ref="G54:H54"/>
    <mergeCell ref="C25:F25"/>
    <mergeCell ref="A1:A55"/>
    <mergeCell ref="C2:H2"/>
    <mergeCell ref="C5:F5"/>
    <mergeCell ref="A56:A97"/>
    <mergeCell ref="B57:I57"/>
    <mergeCell ref="B58:I58"/>
    <mergeCell ref="B59:I59"/>
    <mergeCell ref="B60:I60"/>
    <mergeCell ref="B62:I62"/>
  </mergeCells>
  <dataValidations disablePrompts="1" count="4">
    <dataValidation type="decimal" operator="greaterThan" showInputMessage="1" showErrorMessage="1" sqref="E51" xr:uid="{00000000-0002-0000-1800-000000000000}">
      <formula1>-1000</formula1>
    </dataValidation>
    <dataValidation type="list" showInputMessage="1" showErrorMessage="1" sqref="E29:E48" xr:uid="{00000000-0002-0000-1800-000001000000}">
      <formula1>$G$5:$G$25</formula1>
    </dataValidation>
    <dataValidation type="decimal" operator="greaterThan" allowBlank="1" showInputMessage="1" showErrorMessage="1" sqref="F29:F48" xr:uid="{00000000-0002-0000-1800-000002000000}">
      <formula1>-99999</formula1>
    </dataValidation>
    <dataValidation type="decimal" operator="greaterThan" showInputMessage="1" showErrorMessage="1" sqref="E52" xr:uid="{00000000-0002-0000-1800-000003000000}">
      <formula1>-1000000</formula1>
    </dataValidation>
  </dataValidations>
  <pageMargins left="0.70866141732283472" right="0.39370078740157483" top="0.59055118110236227" bottom="0.59055118110236227" header="0.31496062992125984" footer="0.31496062992125984"/>
  <pageSetup paperSize="9" orientation="portrait" r:id="rId1"/>
  <headerFooter>
    <oddFooter>&amp;L&amp;9&amp;F, &amp;A&amp;R&amp;9&amp;D</oddFooter>
  </headerFooter>
  <legacyDrawingHF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27"/>
  <dimension ref="A1:U105"/>
  <sheetViews>
    <sheetView zoomScaleNormal="100" workbookViewId="0">
      <selection activeCell="C4" sqref="C4:H5"/>
    </sheetView>
  </sheetViews>
  <sheetFormatPr baseColWidth="10" defaultColWidth="11.453125" defaultRowHeight="14.5" x14ac:dyDescent="0.35"/>
  <cols>
    <col min="1" max="1" width="4" customWidth="1"/>
    <col min="2" max="2" width="4.7265625" customWidth="1"/>
    <col min="3" max="3" width="5.7265625" customWidth="1"/>
    <col min="4" max="4" width="35.7265625" customWidth="1"/>
    <col min="5" max="7" width="8.453125" customWidth="1"/>
    <col min="8" max="8" width="11.453125" customWidth="1"/>
    <col min="9" max="9" width="4.26953125" customWidth="1"/>
  </cols>
  <sheetData>
    <row r="1" spans="1:21" ht="15.75" customHeight="1" x14ac:dyDescent="0.35">
      <c r="A1" s="833" t="s">
        <v>35</v>
      </c>
      <c r="B1" s="45"/>
      <c r="C1" s="45"/>
      <c r="D1" s="45"/>
      <c r="E1" s="45"/>
      <c r="F1" s="45"/>
      <c r="G1" s="45"/>
      <c r="H1" s="45"/>
      <c r="I1" s="45"/>
      <c r="K1" s="93" t="s">
        <v>699</v>
      </c>
      <c r="L1" s="93"/>
      <c r="M1" s="93"/>
      <c r="N1" s="94">
        <f ca="1">CELL("ZEILE",B67)</f>
        <v>67</v>
      </c>
    </row>
    <row r="2" spans="1:21" ht="23.5" x14ac:dyDescent="0.35">
      <c r="A2" s="833"/>
      <c r="B2" s="46"/>
      <c r="C2" s="864" t="s">
        <v>1150</v>
      </c>
      <c r="D2" s="865"/>
      <c r="E2" s="865"/>
      <c r="F2" s="865"/>
      <c r="G2" s="865"/>
      <c r="H2" s="866"/>
      <c r="I2" s="45"/>
      <c r="K2" s="175" t="s">
        <v>700</v>
      </c>
      <c r="L2" s="155"/>
      <c r="M2" s="155"/>
      <c r="N2" s="175">
        <f ca="1">CELL("ZEILE",G104)</f>
        <v>104</v>
      </c>
    </row>
    <row r="3" spans="1:21" ht="15.5" x14ac:dyDescent="0.35">
      <c r="A3" s="833"/>
      <c r="B3" s="330"/>
      <c r="C3" s="330"/>
      <c r="D3" s="330"/>
      <c r="E3" s="330"/>
      <c r="F3" s="330"/>
      <c r="G3" s="330"/>
      <c r="H3" s="330"/>
      <c r="I3" s="330"/>
      <c r="K3" s="175" t="s">
        <v>701</v>
      </c>
      <c r="L3" s="155"/>
      <c r="M3" s="155"/>
      <c r="N3" s="175">
        <f>E59</f>
        <v>0</v>
      </c>
    </row>
    <row r="4" spans="1:21" ht="7.5" customHeight="1" x14ac:dyDescent="0.35">
      <c r="A4" s="833"/>
      <c r="B4" s="330"/>
      <c r="C4" s="988" t="s">
        <v>940</v>
      </c>
      <c r="D4" s="989"/>
      <c r="E4" s="989"/>
      <c r="F4" s="989"/>
      <c r="G4" s="989"/>
      <c r="H4" s="990"/>
      <c r="I4" s="330"/>
      <c r="K4" s="175"/>
      <c r="L4" s="155"/>
      <c r="M4" s="155"/>
      <c r="N4" s="175"/>
    </row>
    <row r="5" spans="1:21" ht="63.75" customHeight="1" x14ac:dyDescent="0.35">
      <c r="A5" s="833"/>
      <c r="B5" s="330"/>
      <c r="C5" s="991"/>
      <c r="D5" s="992"/>
      <c r="E5" s="992"/>
      <c r="F5" s="992"/>
      <c r="G5" s="992"/>
      <c r="H5" s="993"/>
      <c r="I5" s="330"/>
      <c r="K5" s="175"/>
      <c r="L5" s="155"/>
      <c r="M5" s="155"/>
      <c r="N5" s="175"/>
    </row>
    <row r="6" spans="1:21" ht="7.5" customHeight="1" x14ac:dyDescent="0.35">
      <c r="A6" s="833"/>
      <c r="B6" s="330"/>
      <c r="C6" s="330"/>
      <c r="D6" s="330"/>
      <c r="E6" s="330"/>
      <c r="F6" s="330"/>
      <c r="G6" s="330"/>
      <c r="H6" s="330"/>
      <c r="I6" s="330"/>
      <c r="K6" s="175"/>
      <c r="L6" s="155"/>
      <c r="M6" s="155"/>
      <c r="N6" s="175"/>
    </row>
    <row r="7" spans="1:21" ht="16.5" customHeight="1" thickBot="1" x14ac:dyDescent="0.4">
      <c r="A7" s="833"/>
      <c r="B7" s="330"/>
      <c r="C7" s="330"/>
      <c r="D7" s="330" t="s">
        <v>600</v>
      </c>
      <c r="E7" s="330"/>
      <c r="F7" s="330"/>
      <c r="G7" s="343" t="s">
        <v>599</v>
      </c>
      <c r="H7" s="343" t="s">
        <v>601</v>
      </c>
      <c r="I7" s="330"/>
      <c r="K7" s="175"/>
      <c r="L7" s="155"/>
      <c r="M7" s="155"/>
      <c r="N7" s="175"/>
    </row>
    <row r="8" spans="1:21" ht="15" thickBot="1" x14ac:dyDescent="0.4">
      <c r="A8" s="833"/>
      <c r="B8" s="242"/>
      <c r="C8" s="546" t="s">
        <v>602</v>
      </c>
      <c r="D8" s="547"/>
      <c r="E8" s="547"/>
      <c r="F8" s="548"/>
      <c r="G8" s="429" t="s">
        <v>604</v>
      </c>
      <c r="H8" s="431">
        <f>ROUND(IS*0.5,2)</f>
        <v>0</v>
      </c>
      <c r="I8" s="432"/>
    </row>
    <row r="9" spans="1:21" s="234" customFormat="1" ht="15" customHeight="1" thickBot="1" x14ac:dyDescent="0.35">
      <c r="A9" s="833"/>
      <c r="B9" s="242"/>
      <c r="C9" s="546" t="s">
        <v>603</v>
      </c>
      <c r="D9" s="547"/>
      <c r="E9" s="547"/>
      <c r="F9" s="548"/>
      <c r="G9" s="429" t="s">
        <v>627</v>
      </c>
      <c r="H9" s="431">
        <f>ROUND(IS*0.65,2)</f>
        <v>0</v>
      </c>
      <c r="I9" s="432"/>
    </row>
    <row r="10" spans="1:21" s="234" customFormat="1" ht="15" customHeight="1" thickBot="1" x14ac:dyDescent="0.35">
      <c r="A10" s="833"/>
      <c r="B10" s="242"/>
      <c r="C10" s="546" t="s">
        <v>605</v>
      </c>
      <c r="D10" s="547"/>
      <c r="E10" s="547"/>
      <c r="F10" s="548"/>
      <c r="G10" s="429" t="s">
        <v>606</v>
      </c>
      <c r="H10" s="431">
        <f>ROUND(IS*0.8,2)</f>
        <v>0</v>
      </c>
      <c r="I10" s="432"/>
      <c r="K10" s="433"/>
      <c r="M10" s="434"/>
    </row>
    <row r="11" spans="1:21" s="234" customFormat="1" ht="15" customHeight="1" thickBot="1" x14ac:dyDescent="0.35">
      <c r="A11" s="833"/>
      <c r="B11" s="242"/>
      <c r="C11" s="546" t="s">
        <v>1113</v>
      </c>
      <c r="D11" s="547"/>
      <c r="E11" s="547"/>
      <c r="F11" s="548"/>
      <c r="G11" s="429" t="s">
        <v>1116</v>
      </c>
      <c r="H11" s="431">
        <f>ROUND(H10*0.667,2)</f>
        <v>0</v>
      </c>
      <c r="I11" s="432"/>
      <c r="K11" s="433"/>
      <c r="M11" s="434"/>
    </row>
    <row r="12" spans="1:21" s="234" customFormat="1" ht="15" customHeight="1" thickBot="1" x14ac:dyDescent="0.35">
      <c r="A12" s="833"/>
      <c r="B12" s="242"/>
      <c r="C12" s="546" t="s">
        <v>612</v>
      </c>
      <c r="D12" s="547"/>
      <c r="E12" s="547"/>
      <c r="F12" s="548"/>
      <c r="G12" s="429" t="s">
        <v>613</v>
      </c>
      <c r="H12" s="431">
        <f>ROUND(IS*0.8+0.15*IS,2)</f>
        <v>0</v>
      </c>
      <c r="I12" s="432"/>
      <c r="K12" s="433"/>
      <c r="M12" s="434"/>
      <c r="P12" s="433"/>
      <c r="Q12" s="433"/>
      <c r="R12" s="433"/>
      <c r="S12" s="433"/>
      <c r="T12" s="433"/>
      <c r="U12" s="433"/>
    </row>
    <row r="13" spans="1:21" s="234" customFormat="1" ht="15" customHeight="1" thickBot="1" x14ac:dyDescent="0.35">
      <c r="A13" s="833"/>
      <c r="B13" s="336"/>
      <c r="C13" s="546" t="s">
        <v>607</v>
      </c>
      <c r="D13" s="547"/>
      <c r="E13" s="547"/>
      <c r="F13" s="548"/>
      <c r="G13" s="429" t="s">
        <v>608</v>
      </c>
      <c r="H13" s="431">
        <f>ROUND(IS*1,2)</f>
        <v>0</v>
      </c>
      <c r="I13" s="336"/>
      <c r="K13" s="433"/>
      <c r="M13" s="434"/>
      <c r="P13" s="433"/>
      <c r="Q13" s="433"/>
      <c r="R13" s="433"/>
      <c r="S13" s="433"/>
      <c r="T13" s="433"/>
      <c r="U13" s="433"/>
    </row>
    <row r="14" spans="1:21" s="234" customFormat="1" ht="15" customHeight="1" thickBot="1" x14ac:dyDescent="0.35">
      <c r="A14" s="833"/>
      <c r="B14" s="336"/>
      <c r="C14" s="546" t="s">
        <v>1114</v>
      </c>
      <c r="D14" s="547"/>
      <c r="E14" s="547"/>
      <c r="F14" s="548"/>
      <c r="G14" s="429" t="s">
        <v>1115</v>
      </c>
      <c r="H14" s="431">
        <f>ROUND(H13*0.667,2)</f>
        <v>0</v>
      </c>
      <c r="I14" s="336"/>
      <c r="K14" s="433"/>
      <c r="M14" s="434"/>
      <c r="P14" s="433"/>
      <c r="Q14" s="433"/>
      <c r="R14" s="433"/>
      <c r="S14" s="433"/>
      <c r="T14" s="433"/>
      <c r="U14" s="433"/>
    </row>
    <row r="15" spans="1:21" s="234" customFormat="1" ht="15" customHeight="1" thickBot="1" x14ac:dyDescent="0.35">
      <c r="A15" s="833"/>
      <c r="B15" s="336"/>
      <c r="C15" s="546" t="s">
        <v>946</v>
      </c>
      <c r="D15" s="547"/>
      <c r="E15" s="547"/>
      <c r="F15" s="548"/>
      <c r="G15" s="429" t="s">
        <v>947</v>
      </c>
      <c r="H15" s="431">
        <f>ROUND(IS*1.15,2)</f>
        <v>0</v>
      </c>
      <c r="I15" s="336"/>
      <c r="K15" s="433"/>
      <c r="M15" s="434"/>
      <c r="P15" s="433"/>
      <c r="Q15" s="433"/>
      <c r="R15" s="433"/>
      <c r="S15" s="433"/>
      <c r="T15" s="433"/>
      <c r="U15" s="433"/>
    </row>
    <row r="16" spans="1:21" s="234" customFormat="1" ht="15" customHeight="1" thickBot="1" x14ac:dyDescent="0.35">
      <c r="A16" s="833"/>
      <c r="B16" s="336"/>
      <c r="C16" s="546" t="s">
        <v>609</v>
      </c>
      <c r="D16" s="547"/>
      <c r="E16" s="547"/>
      <c r="F16" s="548"/>
      <c r="G16" s="429" t="s">
        <v>835</v>
      </c>
      <c r="H16" s="431">
        <f>ROUND(IS*1.25,2)</f>
        <v>0</v>
      </c>
      <c r="I16" s="336"/>
      <c r="K16" s="433"/>
      <c r="M16" s="434"/>
      <c r="P16" s="433"/>
      <c r="Q16" s="433"/>
      <c r="R16" s="433"/>
      <c r="S16" s="433"/>
      <c r="T16" s="433"/>
      <c r="U16" s="433"/>
    </row>
    <row r="17" spans="1:21" s="234" customFormat="1" ht="15" customHeight="1" thickBot="1" x14ac:dyDescent="0.35">
      <c r="A17" s="833"/>
      <c r="B17" s="336"/>
      <c r="C17" s="546" t="s">
        <v>1109</v>
      </c>
      <c r="D17" s="547"/>
      <c r="E17" s="547"/>
      <c r="F17" s="548"/>
      <c r="G17" s="429" t="s">
        <v>833</v>
      </c>
      <c r="H17" s="431">
        <f>ROUND(IS*1+H23+H24,2)</f>
        <v>0</v>
      </c>
      <c r="I17" s="336"/>
      <c r="K17" s="433"/>
      <c r="L17" s="433"/>
      <c r="M17" s="435"/>
      <c r="N17" s="433"/>
      <c r="O17" s="433"/>
      <c r="P17" s="433"/>
      <c r="Q17" s="433"/>
      <c r="R17" s="433"/>
      <c r="S17" s="433"/>
      <c r="T17" s="433"/>
      <c r="U17" s="433"/>
    </row>
    <row r="18" spans="1:21" s="234" customFormat="1" ht="15" customHeight="1" thickBot="1" x14ac:dyDescent="0.35">
      <c r="A18" s="833"/>
      <c r="B18" s="336"/>
      <c r="C18" s="546" t="s">
        <v>1110</v>
      </c>
      <c r="D18" s="547"/>
      <c r="E18" s="547"/>
      <c r="F18" s="548"/>
      <c r="G18" s="429" t="s">
        <v>834</v>
      </c>
      <c r="H18" s="431">
        <f>ROUND(IS*1.6+H23,2)</f>
        <v>0</v>
      </c>
      <c r="I18" s="336"/>
      <c r="P18" s="433"/>
      <c r="Q18" s="433"/>
      <c r="R18" s="433"/>
      <c r="S18" s="433"/>
      <c r="T18" s="433"/>
      <c r="U18" s="433"/>
    </row>
    <row r="19" spans="1:21" s="234" customFormat="1" ht="15" customHeight="1" thickBot="1" x14ac:dyDescent="0.35">
      <c r="A19" s="833"/>
      <c r="B19" s="336"/>
      <c r="C19" s="546" t="s">
        <v>1111</v>
      </c>
      <c r="D19" s="547"/>
      <c r="E19" s="547"/>
      <c r="F19" s="548"/>
      <c r="G19" s="429" t="s">
        <v>1117</v>
      </c>
      <c r="H19" s="431">
        <f>ROUND(IS*1*0.667,2)</f>
        <v>0</v>
      </c>
      <c r="I19" s="336"/>
      <c r="P19" s="433"/>
      <c r="Q19" s="433"/>
      <c r="R19" s="433"/>
      <c r="S19" s="433"/>
      <c r="T19" s="433"/>
      <c r="U19" s="433"/>
    </row>
    <row r="20" spans="1:21" s="234" customFormat="1" ht="15" customHeight="1" thickBot="1" x14ac:dyDescent="0.35">
      <c r="A20" s="833"/>
      <c r="B20" s="336"/>
      <c r="C20" s="546" t="s">
        <v>1112</v>
      </c>
      <c r="D20" s="547"/>
      <c r="E20" s="547"/>
      <c r="F20" s="548"/>
      <c r="G20" s="429" t="s">
        <v>1118</v>
      </c>
      <c r="H20" s="431">
        <f>ROUND(IS*1.6*0.667,2)</f>
        <v>0</v>
      </c>
      <c r="I20" s="336"/>
      <c r="P20" s="433"/>
      <c r="Q20" s="433"/>
      <c r="R20" s="433"/>
      <c r="S20" s="433"/>
      <c r="T20" s="433"/>
      <c r="U20" s="433"/>
    </row>
    <row r="21" spans="1:21" s="234" customFormat="1" ht="15" customHeight="1" thickBot="1" x14ac:dyDescent="0.35">
      <c r="A21" s="833"/>
      <c r="B21" s="336"/>
      <c r="C21" s="546" t="s">
        <v>1107</v>
      </c>
      <c r="D21" s="547"/>
      <c r="E21" s="547"/>
      <c r="F21" s="548"/>
      <c r="G21" s="429" t="s">
        <v>1119</v>
      </c>
      <c r="H21" s="431">
        <f>ROUND(IS*1+H23+20*H26,2)</f>
        <v>13</v>
      </c>
      <c r="I21" s="336"/>
      <c r="K21" s="433"/>
      <c r="L21" s="433"/>
      <c r="M21" s="436"/>
      <c r="N21" s="433"/>
      <c r="O21" s="433"/>
      <c r="P21" s="433"/>
      <c r="Q21" s="433"/>
      <c r="R21" s="433"/>
      <c r="S21" s="433"/>
      <c r="T21" s="433"/>
      <c r="U21" s="433"/>
    </row>
    <row r="22" spans="1:21" s="234" customFormat="1" ht="15" customHeight="1" thickBot="1" x14ac:dyDescent="0.35">
      <c r="A22" s="833"/>
      <c r="B22" s="336"/>
      <c r="C22" s="546" t="s">
        <v>1108</v>
      </c>
      <c r="D22" s="547"/>
      <c r="E22" s="547"/>
      <c r="F22" s="548"/>
      <c r="G22" s="429" t="s">
        <v>1120</v>
      </c>
      <c r="H22" s="431">
        <f>ROUND(IS*1.6+H23+20*H26,2)</f>
        <v>13</v>
      </c>
      <c r="I22" s="336"/>
      <c r="K22" s="433"/>
      <c r="L22" s="433"/>
      <c r="M22" s="436"/>
      <c r="N22" s="433"/>
      <c r="O22" s="433"/>
      <c r="P22" s="433"/>
      <c r="Q22" s="433"/>
      <c r="R22" s="433"/>
      <c r="S22" s="433"/>
      <c r="T22" s="433"/>
      <c r="U22" s="433"/>
    </row>
    <row r="23" spans="1:21" s="234" customFormat="1" ht="15" customHeight="1" thickBot="1" x14ac:dyDescent="0.35">
      <c r="A23" s="833"/>
      <c r="B23" s="336"/>
      <c r="C23" s="546" t="s">
        <v>831</v>
      </c>
      <c r="D23" s="547"/>
      <c r="E23" s="547"/>
      <c r="F23" s="548"/>
      <c r="G23" s="429" t="s">
        <v>830</v>
      </c>
      <c r="H23" s="431">
        <f>ROUND(0.15*IS,2)</f>
        <v>0</v>
      </c>
      <c r="I23" s="336"/>
      <c r="K23" s="433"/>
      <c r="L23" s="433"/>
      <c r="M23" s="436"/>
      <c r="N23" s="433"/>
      <c r="O23" s="433"/>
      <c r="P23" s="433"/>
      <c r="Q23" s="433"/>
      <c r="R23" s="433"/>
      <c r="S23" s="433"/>
      <c r="T23" s="433"/>
      <c r="U23" s="433"/>
    </row>
    <row r="24" spans="1:21" s="234" customFormat="1" ht="15" customHeight="1" thickBot="1" x14ac:dyDescent="0.35">
      <c r="A24" s="833"/>
      <c r="B24" s="336"/>
      <c r="C24" s="546" t="s">
        <v>829</v>
      </c>
      <c r="D24" s="547"/>
      <c r="E24" s="547"/>
      <c r="F24" s="548"/>
      <c r="G24" s="429" t="s">
        <v>832</v>
      </c>
      <c r="H24" s="431">
        <f>ROUND(0.05*IS,2)</f>
        <v>0</v>
      </c>
      <c r="I24" s="336"/>
      <c r="K24" s="433"/>
      <c r="L24" s="433"/>
      <c r="M24" s="436"/>
      <c r="N24" s="433"/>
      <c r="O24" s="433"/>
      <c r="P24" s="433"/>
      <c r="Q24" s="433"/>
      <c r="R24" s="433"/>
      <c r="S24" s="433"/>
      <c r="T24" s="433"/>
      <c r="U24" s="433"/>
    </row>
    <row r="25" spans="1:21" s="234" customFormat="1" ht="15" customHeight="1" thickBot="1" x14ac:dyDescent="0.35">
      <c r="A25" s="833"/>
      <c r="B25" s="336"/>
      <c r="C25" s="546" t="s">
        <v>942</v>
      </c>
      <c r="D25" s="547"/>
      <c r="E25" s="547"/>
      <c r="F25" s="548"/>
      <c r="G25" s="429" t="s">
        <v>943</v>
      </c>
      <c r="H25" s="431">
        <v>0.5</v>
      </c>
      <c r="I25" s="336"/>
      <c r="K25" s="433"/>
      <c r="L25" s="433"/>
      <c r="M25" s="436"/>
      <c r="N25" s="433"/>
      <c r="O25" s="433"/>
      <c r="P25" s="433"/>
      <c r="Q25" s="433"/>
      <c r="R25" s="433"/>
      <c r="S25" s="433"/>
      <c r="T25" s="433"/>
      <c r="U25" s="433"/>
    </row>
    <row r="26" spans="1:21" s="234" customFormat="1" ht="15" customHeight="1" thickBot="1" x14ac:dyDescent="0.35">
      <c r="A26" s="833"/>
      <c r="B26" s="336"/>
      <c r="C26" s="546" t="s">
        <v>1155</v>
      </c>
      <c r="D26" s="547"/>
      <c r="E26" s="547"/>
      <c r="F26" s="548"/>
      <c r="G26" s="429" t="s">
        <v>944</v>
      </c>
      <c r="H26" s="431">
        <v>0.65</v>
      </c>
      <c r="I26" s="336"/>
      <c r="K26" s="433"/>
      <c r="L26" s="433"/>
      <c r="M26" s="436"/>
      <c r="N26" s="433"/>
      <c r="O26" s="433"/>
      <c r="P26" s="433"/>
      <c r="Q26" s="433"/>
      <c r="R26" s="433"/>
      <c r="S26" s="433"/>
      <c r="T26" s="433"/>
      <c r="U26" s="433"/>
    </row>
    <row r="27" spans="1:21" s="234" customFormat="1" ht="15" customHeight="1" thickBot="1" x14ac:dyDescent="0.35">
      <c r="A27" s="833"/>
      <c r="B27" s="336"/>
      <c r="C27" s="546" t="s">
        <v>941</v>
      </c>
      <c r="D27" s="547"/>
      <c r="E27" s="547"/>
      <c r="F27" s="548"/>
      <c r="G27" s="429" t="s">
        <v>945</v>
      </c>
      <c r="H27" s="431">
        <v>1</v>
      </c>
      <c r="I27" s="336"/>
      <c r="K27" s="433"/>
      <c r="L27" s="433"/>
      <c r="M27" s="436"/>
      <c r="N27" s="433"/>
      <c r="O27" s="433"/>
      <c r="P27" s="433"/>
      <c r="Q27" s="433"/>
      <c r="R27" s="433"/>
      <c r="S27" s="433"/>
      <c r="T27" s="433"/>
      <c r="U27" s="433"/>
    </row>
    <row r="28" spans="1:21" s="234" customFormat="1" ht="15" customHeight="1" x14ac:dyDescent="0.3">
      <c r="A28" s="833"/>
      <c r="B28" s="336"/>
      <c r="C28" s="336"/>
      <c r="D28" s="336"/>
      <c r="E28" s="336"/>
      <c r="F28" s="336"/>
      <c r="G28" s="336"/>
      <c r="H28" s="336"/>
      <c r="I28" s="336"/>
      <c r="K28" s="433"/>
      <c r="L28" s="433"/>
      <c r="M28" s="436"/>
      <c r="N28" s="433"/>
      <c r="O28" s="433"/>
      <c r="P28" s="433"/>
      <c r="Q28" s="433"/>
      <c r="R28" s="433"/>
      <c r="S28" s="433"/>
      <c r="T28" s="433"/>
      <c r="U28" s="433"/>
    </row>
    <row r="29" spans="1:21" s="234" customFormat="1" ht="15" customHeight="1" x14ac:dyDescent="0.3">
      <c r="A29" s="833"/>
      <c r="B29" s="336"/>
      <c r="C29" s="336"/>
      <c r="D29" s="336"/>
      <c r="E29" s="336"/>
      <c r="F29" s="336"/>
      <c r="G29" s="336"/>
      <c r="H29" s="336"/>
      <c r="I29" s="336"/>
      <c r="K29" s="433"/>
      <c r="L29" s="433"/>
      <c r="M29" s="436"/>
      <c r="N29" s="433"/>
      <c r="O29" s="433"/>
      <c r="P29" s="433"/>
      <c r="Q29" s="433"/>
      <c r="R29" s="433"/>
      <c r="S29" s="433"/>
      <c r="T29" s="433"/>
      <c r="U29" s="433"/>
    </row>
    <row r="30" spans="1:21" s="234" customFormat="1" ht="15" customHeight="1" thickBot="1" x14ac:dyDescent="0.35">
      <c r="A30" s="833"/>
      <c r="B30" s="336"/>
      <c r="C30" s="336" t="s">
        <v>618</v>
      </c>
      <c r="D30" s="336" t="s">
        <v>619</v>
      </c>
      <c r="E30" s="437" t="s">
        <v>617</v>
      </c>
      <c r="F30" s="437" t="s">
        <v>620</v>
      </c>
      <c r="G30" s="437" t="s">
        <v>601</v>
      </c>
      <c r="H30" s="437" t="s">
        <v>616</v>
      </c>
      <c r="I30" s="336"/>
      <c r="K30" s="433"/>
      <c r="L30" s="433"/>
      <c r="M30" s="436"/>
      <c r="N30" s="433"/>
      <c r="O30" s="433"/>
      <c r="P30" s="433"/>
      <c r="Q30" s="433"/>
      <c r="R30" s="433"/>
      <c r="S30" s="433"/>
      <c r="T30" s="433"/>
      <c r="U30" s="433"/>
    </row>
    <row r="31" spans="1:21" s="234" customFormat="1" ht="15" customHeight="1" thickBot="1" x14ac:dyDescent="0.35">
      <c r="A31" s="833"/>
      <c r="B31" s="63"/>
      <c r="C31" s="445"/>
      <c r="D31" s="449"/>
      <c r="E31" s="430"/>
      <c r="F31" s="430"/>
      <c r="G31" s="448" t="str">
        <f t="shared" ref="G31:G53" si="0">IF(E31&lt;&gt;"",VLOOKUP(E31,G$8:H$27,2,FALSE),"")</f>
        <v/>
      </c>
      <c r="H31" s="448" t="str">
        <f t="shared" ref="H31" si="1">IF(AND(E31&lt;&gt;"",F31&lt;&gt;"",F31&gt;0),F31*G31,"")</f>
        <v/>
      </c>
      <c r="I31" s="64"/>
      <c r="K31" s="433"/>
      <c r="L31" s="433"/>
      <c r="M31" s="436"/>
      <c r="N31" s="433"/>
      <c r="O31" s="433"/>
      <c r="P31" s="433"/>
    </row>
    <row r="32" spans="1:21" ht="16" thickBot="1" x14ac:dyDescent="0.4">
      <c r="A32" s="833"/>
      <c r="B32" s="330"/>
      <c r="C32" s="445"/>
      <c r="D32" s="449"/>
      <c r="E32" s="430"/>
      <c r="F32" s="430"/>
      <c r="G32" s="448" t="str">
        <f t="shared" si="0"/>
        <v/>
      </c>
      <c r="H32" s="448" t="str">
        <f t="shared" ref="H32:H53" si="2">IF(AND(E32&lt;&gt;"",F32&lt;&gt;"",F32&gt;0),F32*G32,"")</f>
        <v/>
      </c>
      <c r="I32" s="330"/>
      <c r="K32" s="254"/>
      <c r="L32" s="254"/>
      <c r="M32" s="332"/>
      <c r="N32" s="254"/>
      <c r="O32" s="254"/>
      <c r="P32" s="254"/>
    </row>
    <row r="33" spans="1:16" ht="16" thickBot="1" x14ac:dyDescent="0.4">
      <c r="A33" s="833"/>
      <c r="B33" s="330"/>
      <c r="C33" s="445"/>
      <c r="D33" s="449"/>
      <c r="E33" s="430"/>
      <c r="F33" s="430"/>
      <c r="G33" s="448" t="str">
        <f t="shared" si="0"/>
        <v/>
      </c>
      <c r="H33" s="448" t="str">
        <f t="shared" si="2"/>
        <v/>
      </c>
      <c r="I33" s="330"/>
      <c r="K33" s="254"/>
      <c r="L33" s="254"/>
      <c r="M33" s="332"/>
      <c r="N33" s="254"/>
      <c r="O33" s="254"/>
      <c r="P33" s="254"/>
    </row>
    <row r="34" spans="1:16" ht="16" thickBot="1" x14ac:dyDescent="0.4">
      <c r="A34" s="833"/>
      <c r="B34" s="330"/>
      <c r="C34" s="445"/>
      <c r="D34" s="449"/>
      <c r="E34" s="430"/>
      <c r="F34" s="430"/>
      <c r="G34" s="448" t="str">
        <f t="shared" si="0"/>
        <v/>
      </c>
      <c r="H34" s="448" t="str">
        <f t="shared" si="2"/>
        <v/>
      </c>
      <c r="I34" s="330"/>
      <c r="K34" s="254"/>
      <c r="L34" s="254"/>
      <c r="M34" s="332"/>
      <c r="N34" s="254"/>
      <c r="O34" s="254"/>
      <c r="P34" s="254"/>
    </row>
    <row r="35" spans="1:16" ht="16" thickBot="1" x14ac:dyDescent="0.4">
      <c r="A35" s="833"/>
      <c r="B35" s="330"/>
      <c r="C35" s="445"/>
      <c r="D35" s="449"/>
      <c r="E35" s="430"/>
      <c r="F35" s="430"/>
      <c r="G35" s="448" t="str">
        <f t="shared" si="0"/>
        <v/>
      </c>
      <c r="H35" s="448" t="str">
        <f t="shared" si="2"/>
        <v/>
      </c>
      <c r="I35" s="330"/>
      <c r="K35" s="254"/>
      <c r="L35" s="254"/>
      <c r="M35" s="332"/>
      <c r="N35" s="254"/>
      <c r="O35" s="254"/>
      <c r="P35" s="254"/>
    </row>
    <row r="36" spans="1:16" ht="16" thickBot="1" x14ac:dyDescent="0.4">
      <c r="A36" s="833"/>
      <c r="B36" s="330"/>
      <c r="C36" s="445"/>
      <c r="D36" s="449"/>
      <c r="E36" s="430"/>
      <c r="F36" s="430"/>
      <c r="G36" s="448" t="str">
        <f t="shared" si="0"/>
        <v/>
      </c>
      <c r="H36" s="448" t="str">
        <f t="shared" si="2"/>
        <v/>
      </c>
      <c r="I36" s="330"/>
      <c r="K36" s="254"/>
      <c r="L36" s="254"/>
      <c r="M36" s="332"/>
      <c r="N36" s="254"/>
      <c r="O36" s="254"/>
      <c r="P36" s="254"/>
    </row>
    <row r="37" spans="1:16" ht="16" thickBot="1" x14ac:dyDescent="0.4">
      <c r="A37" s="833"/>
      <c r="B37" s="330"/>
      <c r="C37" s="445"/>
      <c r="D37" s="449"/>
      <c r="E37" s="430"/>
      <c r="F37" s="430"/>
      <c r="G37" s="448" t="str">
        <f t="shared" si="0"/>
        <v/>
      </c>
      <c r="H37" s="448" t="str">
        <f t="shared" si="2"/>
        <v/>
      </c>
      <c r="I37" s="330"/>
      <c r="K37" s="254"/>
      <c r="L37" s="254"/>
      <c r="M37" s="332"/>
      <c r="N37" s="254"/>
      <c r="O37" s="254"/>
      <c r="P37" s="254"/>
    </row>
    <row r="38" spans="1:16" ht="16" thickBot="1" x14ac:dyDescent="0.4">
      <c r="A38" s="833"/>
      <c r="B38" s="330"/>
      <c r="C38" s="445"/>
      <c r="D38" s="449"/>
      <c r="E38" s="430"/>
      <c r="F38" s="430"/>
      <c r="G38" s="448" t="str">
        <f t="shared" si="0"/>
        <v/>
      </c>
      <c r="H38" s="448" t="str">
        <f t="shared" si="2"/>
        <v/>
      </c>
      <c r="I38" s="330"/>
      <c r="K38" s="254"/>
      <c r="L38" s="254"/>
      <c r="M38" s="332"/>
      <c r="N38" s="254"/>
      <c r="O38" s="254"/>
      <c r="P38" s="254"/>
    </row>
    <row r="39" spans="1:16" ht="16" thickBot="1" x14ac:dyDescent="0.4">
      <c r="A39" s="833"/>
      <c r="B39" s="330"/>
      <c r="C39" s="445"/>
      <c r="D39" s="449"/>
      <c r="E39" s="430"/>
      <c r="F39" s="430"/>
      <c r="G39" s="448" t="str">
        <f t="shared" si="0"/>
        <v/>
      </c>
      <c r="H39" s="448" t="str">
        <f t="shared" si="2"/>
        <v/>
      </c>
      <c r="I39" s="330"/>
      <c r="K39" s="254"/>
      <c r="L39" s="254"/>
      <c r="M39" s="332"/>
      <c r="N39" s="254"/>
      <c r="O39" s="254"/>
      <c r="P39" s="254"/>
    </row>
    <row r="40" spans="1:16" ht="16" thickBot="1" x14ac:dyDescent="0.4">
      <c r="A40" s="833"/>
      <c r="B40" s="330"/>
      <c r="C40" s="445"/>
      <c r="D40" s="449"/>
      <c r="E40" s="430"/>
      <c r="F40" s="430"/>
      <c r="G40" s="448" t="str">
        <f t="shared" si="0"/>
        <v/>
      </c>
      <c r="H40" s="448" t="str">
        <f t="shared" si="2"/>
        <v/>
      </c>
      <c r="I40" s="330"/>
      <c r="K40" s="254"/>
      <c r="L40" s="254"/>
      <c r="M40" s="332"/>
      <c r="N40" s="254"/>
      <c r="O40" s="254"/>
      <c r="P40" s="254"/>
    </row>
    <row r="41" spans="1:16" ht="16" thickBot="1" x14ac:dyDescent="0.4">
      <c r="A41" s="833"/>
      <c r="B41" s="330"/>
      <c r="C41" s="445"/>
      <c r="D41" s="449"/>
      <c r="E41" s="430"/>
      <c r="F41" s="430"/>
      <c r="G41" s="448" t="str">
        <f t="shared" si="0"/>
        <v/>
      </c>
      <c r="H41" s="448" t="str">
        <f t="shared" si="2"/>
        <v/>
      </c>
      <c r="I41" s="330"/>
      <c r="K41" s="254"/>
      <c r="L41" s="254"/>
      <c r="M41" s="332"/>
      <c r="N41" s="254"/>
      <c r="O41" s="254"/>
      <c r="P41" s="254"/>
    </row>
    <row r="42" spans="1:16" ht="16" thickBot="1" x14ac:dyDescent="0.4">
      <c r="A42" s="833"/>
      <c r="B42" s="330"/>
      <c r="C42" s="445"/>
      <c r="D42" s="449"/>
      <c r="E42" s="430"/>
      <c r="F42" s="430"/>
      <c r="G42" s="448" t="str">
        <f t="shared" si="0"/>
        <v/>
      </c>
      <c r="H42" s="448" t="str">
        <f t="shared" si="2"/>
        <v/>
      </c>
      <c r="I42" s="330"/>
      <c r="K42" s="254"/>
      <c r="L42" s="254"/>
      <c r="M42" s="332"/>
      <c r="N42" s="254"/>
      <c r="O42" s="254"/>
      <c r="P42" s="254"/>
    </row>
    <row r="43" spans="1:16" ht="16" thickBot="1" x14ac:dyDescent="0.4">
      <c r="A43" s="833"/>
      <c r="B43" s="330"/>
      <c r="C43" s="445"/>
      <c r="D43" s="449"/>
      <c r="E43" s="430"/>
      <c r="F43" s="430"/>
      <c r="G43" s="448" t="str">
        <f t="shared" si="0"/>
        <v/>
      </c>
      <c r="H43" s="448" t="str">
        <f t="shared" si="2"/>
        <v/>
      </c>
      <c r="I43" s="330"/>
      <c r="K43" s="254"/>
      <c r="L43" s="254"/>
      <c r="M43" s="332"/>
      <c r="N43" s="254"/>
      <c r="O43" s="254"/>
      <c r="P43" s="254"/>
    </row>
    <row r="44" spans="1:16" ht="16" thickBot="1" x14ac:dyDescent="0.4">
      <c r="A44" s="833"/>
      <c r="B44" s="330"/>
      <c r="C44" s="445"/>
      <c r="D44" s="449"/>
      <c r="E44" s="430"/>
      <c r="F44" s="430"/>
      <c r="G44" s="448" t="str">
        <f t="shared" si="0"/>
        <v/>
      </c>
      <c r="H44" s="448" t="str">
        <f t="shared" si="2"/>
        <v/>
      </c>
      <c r="I44" s="330"/>
      <c r="K44" s="254"/>
      <c r="L44" s="254"/>
      <c r="M44" s="332"/>
      <c r="N44" s="254"/>
      <c r="O44" s="254"/>
      <c r="P44" s="254"/>
    </row>
    <row r="45" spans="1:16" ht="16" thickBot="1" x14ac:dyDescent="0.4">
      <c r="A45" s="833"/>
      <c r="B45" s="330"/>
      <c r="C45" s="445"/>
      <c r="D45" s="449"/>
      <c r="E45" s="430"/>
      <c r="F45" s="430"/>
      <c r="G45" s="448" t="str">
        <f t="shared" si="0"/>
        <v/>
      </c>
      <c r="H45" s="448" t="str">
        <f t="shared" si="2"/>
        <v/>
      </c>
      <c r="I45" s="330"/>
      <c r="K45" s="254"/>
      <c r="L45" s="254"/>
      <c r="M45" s="332"/>
      <c r="N45" s="254"/>
      <c r="O45" s="254"/>
      <c r="P45" s="254"/>
    </row>
    <row r="46" spans="1:16" ht="16" thickBot="1" x14ac:dyDescent="0.4">
      <c r="A46" s="833"/>
      <c r="B46" s="330"/>
      <c r="C46" s="445"/>
      <c r="D46" s="449"/>
      <c r="E46" s="430"/>
      <c r="F46" s="430"/>
      <c r="G46" s="448" t="str">
        <f t="shared" si="0"/>
        <v/>
      </c>
      <c r="H46" s="448" t="str">
        <f t="shared" si="2"/>
        <v/>
      </c>
      <c r="I46" s="330"/>
      <c r="K46" s="254"/>
      <c r="L46" s="254"/>
      <c r="M46" s="332"/>
      <c r="N46" s="254"/>
      <c r="O46" s="254"/>
      <c r="P46" s="254"/>
    </row>
    <row r="47" spans="1:16" ht="16" thickBot="1" x14ac:dyDescent="0.4">
      <c r="A47" s="833"/>
      <c r="B47" s="330"/>
      <c r="C47" s="445"/>
      <c r="D47" s="449"/>
      <c r="E47" s="430"/>
      <c r="F47" s="430"/>
      <c r="G47" s="448" t="str">
        <f t="shared" si="0"/>
        <v/>
      </c>
      <c r="H47" s="448" t="str">
        <f t="shared" si="2"/>
        <v/>
      </c>
      <c r="I47" s="330"/>
      <c r="K47" s="254"/>
      <c r="L47" s="254"/>
      <c r="M47" s="332"/>
      <c r="N47" s="254"/>
      <c r="O47" s="254"/>
      <c r="P47" s="254"/>
    </row>
    <row r="48" spans="1:16" ht="16" thickBot="1" x14ac:dyDescent="0.4">
      <c r="A48" s="833"/>
      <c r="B48" s="330"/>
      <c r="C48" s="445"/>
      <c r="D48" s="449"/>
      <c r="E48" s="430"/>
      <c r="F48" s="430"/>
      <c r="G48" s="448" t="str">
        <f t="shared" si="0"/>
        <v/>
      </c>
      <c r="H48" s="448" t="str">
        <f t="shared" si="2"/>
        <v/>
      </c>
      <c r="I48" s="330"/>
      <c r="K48" s="254"/>
      <c r="L48" s="254"/>
      <c r="M48" s="332"/>
      <c r="N48" s="254"/>
      <c r="O48" s="254"/>
      <c r="P48" s="254"/>
    </row>
    <row r="49" spans="1:16" ht="16" thickBot="1" x14ac:dyDescent="0.4">
      <c r="A49" s="833"/>
      <c r="B49" s="330"/>
      <c r="C49" s="445"/>
      <c r="D49" s="449"/>
      <c r="E49" s="430"/>
      <c r="F49" s="430"/>
      <c r="G49" s="448" t="str">
        <f t="shared" si="0"/>
        <v/>
      </c>
      <c r="H49" s="448" t="str">
        <f t="shared" si="2"/>
        <v/>
      </c>
      <c r="I49" s="330"/>
      <c r="K49" s="254"/>
      <c r="L49" s="254"/>
      <c r="M49" s="332"/>
      <c r="N49" s="254"/>
      <c r="O49" s="254"/>
      <c r="P49" s="254"/>
    </row>
    <row r="50" spans="1:16" ht="16" thickBot="1" x14ac:dyDescent="0.4">
      <c r="A50" s="833"/>
      <c r="B50" s="330"/>
      <c r="C50" s="445"/>
      <c r="D50" s="449"/>
      <c r="E50" s="430"/>
      <c r="F50" s="430"/>
      <c r="G50" s="448" t="str">
        <f t="shared" si="0"/>
        <v/>
      </c>
      <c r="H50" s="448" t="str">
        <f t="shared" si="2"/>
        <v/>
      </c>
      <c r="I50" s="330"/>
      <c r="K50" s="254"/>
      <c r="L50" s="254"/>
      <c r="M50" s="332"/>
      <c r="N50" s="254"/>
      <c r="O50" s="254"/>
      <c r="P50" s="254"/>
    </row>
    <row r="51" spans="1:16" ht="16" thickBot="1" x14ac:dyDescent="0.4">
      <c r="A51" s="833"/>
      <c r="B51" s="330"/>
      <c r="C51" s="445"/>
      <c r="D51" s="449"/>
      <c r="E51" s="430"/>
      <c r="F51" s="430"/>
      <c r="G51" s="448" t="str">
        <f t="shared" si="0"/>
        <v/>
      </c>
      <c r="H51" s="448" t="str">
        <f t="shared" si="2"/>
        <v/>
      </c>
      <c r="I51" s="330"/>
      <c r="K51" s="254"/>
      <c r="L51" s="254"/>
      <c r="M51" s="332"/>
      <c r="N51" s="254"/>
      <c r="O51" s="254"/>
      <c r="P51" s="254"/>
    </row>
    <row r="52" spans="1:16" ht="16" thickBot="1" x14ac:dyDescent="0.4">
      <c r="A52" s="833"/>
      <c r="B52" s="330"/>
      <c r="C52" s="445"/>
      <c r="D52" s="449"/>
      <c r="E52" s="430"/>
      <c r="F52" s="430"/>
      <c r="G52" s="448" t="str">
        <f t="shared" si="0"/>
        <v/>
      </c>
      <c r="H52" s="448" t="str">
        <f t="shared" si="2"/>
        <v/>
      </c>
      <c r="I52" s="330"/>
      <c r="K52" s="254"/>
      <c r="L52" s="254"/>
      <c r="M52" s="332"/>
      <c r="N52" s="254"/>
      <c r="O52" s="254"/>
      <c r="P52" s="254"/>
    </row>
    <row r="53" spans="1:16" ht="16" thickBot="1" x14ac:dyDescent="0.4">
      <c r="A53" s="833"/>
      <c r="B53" s="330"/>
      <c r="C53" s="445"/>
      <c r="D53" s="449"/>
      <c r="E53" s="430"/>
      <c r="F53" s="430"/>
      <c r="G53" s="448" t="str">
        <f t="shared" si="0"/>
        <v/>
      </c>
      <c r="H53" s="448" t="str">
        <f t="shared" si="2"/>
        <v/>
      </c>
      <c r="I53" s="330"/>
      <c r="K53" s="254"/>
      <c r="L53" s="254"/>
      <c r="M53" s="332"/>
      <c r="N53" s="254"/>
      <c r="O53" s="254"/>
      <c r="P53" s="254"/>
    </row>
    <row r="54" spans="1:16" ht="9" customHeight="1" thickBot="1" x14ac:dyDescent="0.4">
      <c r="A54" s="833"/>
      <c r="B54" s="330"/>
      <c r="C54" s="330"/>
      <c r="D54" s="330"/>
      <c r="E54" s="330"/>
      <c r="F54" s="330"/>
      <c r="G54" s="330"/>
      <c r="H54" s="450" t="str">
        <f>IF(VSK&lt;&gt;0, SUM(H31:H53),"")</f>
        <v/>
      </c>
      <c r="I54" s="330"/>
      <c r="K54" s="254"/>
      <c r="L54" s="254"/>
      <c r="M54" s="332"/>
      <c r="N54" s="254"/>
      <c r="O54" s="254"/>
      <c r="P54" s="254"/>
    </row>
    <row r="55" spans="1:16" ht="15" customHeight="1" x14ac:dyDescent="0.35">
      <c r="A55" s="833"/>
      <c r="B55" s="46"/>
      <c r="C55" s="317"/>
      <c r="D55" s="318"/>
      <c r="E55" s="317"/>
      <c r="F55" s="592" t="s">
        <v>633</v>
      </c>
      <c r="G55" s="317"/>
      <c r="H55" s="319"/>
      <c r="I55" s="47"/>
      <c r="K55" s="254"/>
      <c r="L55" s="254"/>
      <c r="M55" s="332"/>
      <c r="N55" s="254"/>
      <c r="O55" s="254"/>
      <c r="P55" s="254"/>
    </row>
    <row r="56" spans="1:16" ht="15.5" x14ac:dyDescent="0.35">
      <c r="A56" s="833"/>
      <c r="B56" s="46"/>
      <c r="C56" s="47" t="s">
        <v>34</v>
      </c>
      <c r="D56" s="47"/>
      <c r="E56" s="320"/>
      <c r="F56" s="899"/>
      <c r="G56" s="900"/>
      <c r="H56" s="901"/>
      <c r="I56" s="47"/>
      <c r="K56" s="254"/>
      <c r="L56" s="254"/>
      <c r="M56" s="332"/>
      <c r="N56" s="254"/>
      <c r="O56" s="254"/>
      <c r="P56" s="254"/>
    </row>
    <row r="57" spans="1:16" ht="15.5" x14ac:dyDescent="0.35">
      <c r="A57" s="833"/>
      <c r="B57" s="46"/>
      <c r="C57" s="47" t="s">
        <v>722</v>
      </c>
      <c r="D57" s="47"/>
      <c r="E57" s="604"/>
      <c r="F57" s="868"/>
      <c r="G57" s="895"/>
      <c r="H57" s="869"/>
      <c r="I57" s="47"/>
      <c r="K57" s="254"/>
      <c r="L57" s="254"/>
      <c r="M57" s="254"/>
      <c r="N57" s="254"/>
      <c r="O57" s="254"/>
      <c r="P57" s="254"/>
    </row>
    <row r="58" spans="1:16" ht="9" customHeight="1" x14ac:dyDescent="0.35">
      <c r="A58" s="833"/>
      <c r="B58" s="46"/>
      <c r="C58" s="47"/>
      <c r="D58" s="47"/>
      <c r="E58" s="53"/>
      <c r="F58" s="47"/>
      <c r="G58" s="46"/>
      <c r="H58" s="46"/>
      <c r="I58" s="45"/>
    </row>
    <row r="59" spans="1:16" ht="17.25" customHeight="1" x14ac:dyDescent="0.5">
      <c r="A59" s="833"/>
      <c r="B59" s="45"/>
      <c r="C59" s="54" t="str">
        <f>IF(VSK=0, "UNVOLLSTÄNDIG AUSGEFÜLLT!","")</f>
        <v>UNVOLLSTÄNDIG AUSGEFÜLLT!</v>
      </c>
      <c r="D59" s="45"/>
      <c r="E59" s="438">
        <f>IF(SUM(H31:H53)&gt;0,1,0)</f>
        <v>0</v>
      </c>
      <c r="F59" s="45"/>
      <c r="G59" s="852" t="str">
        <f>IF(VSK&lt;&gt;0, G104,"")</f>
        <v/>
      </c>
      <c r="H59" s="852"/>
      <c r="I59" s="45"/>
    </row>
    <row r="60" spans="1:16" ht="15.5" x14ac:dyDescent="0.35">
      <c r="A60" s="833"/>
      <c r="B60" s="607"/>
      <c r="C60" s="607"/>
      <c r="D60" s="607"/>
      <c r="E60" s="607"/>
      <c r="F60" s="607"/>
      <c r="G60" s="607"/>
      <c r="H60" s="607"/>
      <c r="I60" s="607"/>
      <c r="P60" s="254"/>
    </row>
    <row r="61" spans="1:16" ht="15" customHeight="1" x14ac:dyDescent="0.35">
      <c r="A61" s="833"/>
      <c r="I61" s="577" t="str">
        <f ca="1">IF(VLOOKUP(B67,CHOOSE({5,4,3,2,1},Gesamt!L32:L65,Gesamt!M32:M65,Gesamt!N32:N65,Gesamt!O32:O65,Gesamt!P32:P65,),4,0)&gt;0,CONCATENATE("Pos. ",VLOOKUP(B67,CHOOSE({5,4,3,2,1},Gesamt!L32:L65,Gesamt!M32:M65,Gesamt!N32:N65,Gesamt!O32:O65,Gesamt!P32:P65,),VLOOKUP(Gesamt!C19,Gesamt!L5:N7,3,0),0)),"")</f>
        <v/>
      </c>
    </row>
    <row r="62" spans="1:16" ht="15" customHeight="1" x14ac:dyDescent="0.35">
      <c r="A62" s="830" t="s">
        <v>66</v>
      </c>
      <c r="B62" s="831" t="str">
        <f>CONCATENATE(Gesamt!C2, ": ", Gesamt!E2)</f>
        <v xml:space="preserve">Projekt: </v>
      </c>
      <c r="C62" s="831"/>
      <c r="D62" s="831"/>
      <c r="E62" s="831"/>
      <c r="F62" s="831"/>
      <c r="G62" s="831"/>
      <c r="H62" s="831"/>
      <c r="I62" s="831"/>
    </row>
    <row r="63" spans="1:16" x14ac:dyDescent="0.35">
      <c r="A63" s="830"/>
      <c r="B63" s="832" t="str">
        <f>CONCATENATE(Gesamt!C4, ": ", Gesamt!E4, IF(Gesamt!E5&lt;&gt;""," - ",""), IF(Gesamt!E5&lt;&gt;"",Gesamt!E5,""), IF(Gesamt!E6&lt;&gt;""," - GZ. ",""), IF(Gesamt!E6&lt;&gt;"",Gesamt!E6,""),)</f>
        <v xml:space="preserve">Auftraggeber: </v>
      </c>
      <c r="C63" s="832"/>
      <c r="D63" s="832"/>
      <c r="E63" s="832"/>
      <c r="F63" s="832"/>
      <c r="G63" s="832"/>
      <c r="H63" s="832"/>
      <c r="I63" s="832"/>
    </row>
    <row r="64" spans="1:16" x14ac:dyDescent="0.35">
      <c r="A64" s="830"/>
      <c r="B64" s="832" t="str">
        <f>CONCATENATE(Gesamt!C9, ": ",Gesamt!E9,  IF(Gesamt!C10&lt;&gt;""," - ",""), IF(Gesamt!C10&lt;&gt;"",Gesamt!E10,""), IF(Gesamt!C11&lt;&gt;""," - GZ. ",""), IF(Gesamt!C11&lt;&gt;"",Gesamt!E11,""), )</f>
        <v xml:space="preserve">Bieter:  -  - GZ. </v>
      </c>
      <c r="C64" s="832"/>
      <c r="D64" s="832"/>
      <c r="E64" s="832"/>
      <c r="F64" s="832"/>
      <c r="G64" s="832"/>
      <c r="H64" s="832"/>
      <c r="I64" s="832"/>
    </row>
    <row r="65" spans="1:15" x14ac:dyDescent="0.35">
      <c r="A65" s="830"/>
      <c r="B65" s="832" t="s">
        <v>41</v>
      </c>
      <c r="C65" s="832"/>
      <c r="D65" s="832"/>
      <c r="E65" s="832"/>
      <c r="F65" s="832"/>
      <c r="G65" s="832"/>
      <c r="H65" s="832"/>
      <c r="I65" s="832"/>
    </row>
    <row r="66" spans="1:15" x14ac:dyDescent="0.35">
      <c r="A66" s="830"/>
    </row>
    <row r="67" spans="1:15" ht="18.5" x14ac:dyDescent="0.35">
      <c r="A67" s="830"/>
      <c r="B67" s="843" t="str">
        <f>C2</f>
        <v>Regieleistung</v>
      </c>
      <c r="C67" s="843"/>
      <c r="D67" s="843"/>
      <c r="E67" s="843"/>
      <c r="F67" s="843"/>
      <c r="G67" s="843"/>
      <c r="H67" s="843"/>
      <c r="I67" s="843"/>
    </row>
    <row r="68" spans="1:15" x14ac:dyDescent="0.35">
      <c r="A68" s="830"/>
    </row>
    <row r="69" spans="1:15" x14ac:dyDescent="0.35">
      <c r="A69" s="830"/>
      <c r="B69" s="708"/>
      <c r="C69" s="708" t="s">
        <v>698</v>
      </c>
      <c r="D69" s="708"/>
      <c r="E69" s="708"/>
      <c r="F69" s="708"/>
      <c r="G69" s="708"/>
      <c r="H69" s="708"/>
    </row>
    <row r="70" spans="1:15" ht="7.5" customHeight="1" x14ac:dyDescent="0.35">
      <c r="A70" s="830"/>
      <c r="B70" s="708"/>
      <c r="C70" s="708"/>
      <c r="D70" s="708"/>
      <c r="E70" s="708"/>
      <c r="F70" s="708"/>
      <c r="G70" s="708"/>
      <c r="H70" s="708"/>
    </row>
    <row r="71" spans="1:15" ht="17.25" customHeight="1" x14ac:dyDescent="0.35">
      <c r="A71" s="830"/>
      <c r="B71" s="708"/>
      <c r="C71" s="708" t="s">
        <v>959</v>
      </c>
      <c r="D71" s="708"/>
      <c r="E71" s="709">
        <f>IS</f>
        <v>0</v>
      </c>
      <c r="F71" s="708"/>
      <c r="G71" s="708"/>
      <c r="H71" s="708"/>
    </row>
    <row r="72" spans="1:15" ht="6.75" customHeight="1" x14ac:dyDescent="0.35">
      <c r="A72" s="830"/>
      <c r="B72" s="708"/>
      <c r="C72" s="710"/>
      <c r="D72" s="708"/>
      <c r="E72" s="708"/>
      <c r="F72" s="708"/>
      <c r="G72" s="708"/>
      <c r="H72" s="708"/>
    </row>
    <row r="73" spans="1:15" ht="68.25" customHeight="1" x14ac:dyDescent="0.35">
      <c r="A73" s="830"/>
      <c r="C73" s="994" t="str">
        <f>C4</f>
        <v xml:space="preserve">Leistungsbeschreibung 
</v>
      </c>
      <c r="D73" s="994"/>
      <c r="E73" s="994"/>
      <c r="F73" s="994"/>
      <c r="G73" s="994"/>
      <c r="H73" s="994"/>
    </row>
    <row r="74" spans="1:15" ht="6.75" customHeight="1" x14ac:dyDescent="0.35">
      <c r="A74" s="830"/>
      <c r="C74" s="15"/>
    </row>
    <row r="75" spans="1:15" ht="14.25" customHeight="1" x14ac:dyDescent="0.35">
      <c r="A75" s="830"/>
      <c r="C75" s="442" t="s">
        <v>618</v>
      </c>
      <c r="D75" s="442" t="s">
        <v>619</v>
      </c>
      <c r="E75" s="443" t="s">
        <v>617</v>
      </c>
      <c r="F75" s="443" t="s">
        <v>620</v>
      </c>
      <c r="G75" s="443" t="s">
        <v>601</v>
      </c>
      <c r="H75" s="443" t="s">
        <v>616</v>
      </c>
    </row>
    <row r="76" spans="1:15" x14ac:dyDescent="0.35">
      <c r="A76" s="830"/>
      <c r="C76" s="446" t="str">
        <f t="shared" ref="C76:H76" si="3">IF(C31&lt;&gt;"",C31,"")</f>
        <v/>
      </c>
      <c r="D76" s="440" t="str">
        <f t="shared" si="3"/>
        <v/>
      </c>
      <c r="E76" s="439" t="str">
        <f t="shared" si="3"/>
        <v/>
      </c>
      <c r="F76" s="439" t="str">
        <f t="shared" si="3"/>
        <v/>
      </c>
      <c r="G76" s="444" t="str">
        <f t="shared" si="3"/>
        <v/>
      </c>
      <c r="H76" s="441" t="str">
        <f t="shared" si="3"/>
        <v/>
      </c>
    </row>
    <row r="77" spans="1:15" x14ac:dyDescent="0.35">
      <c r="A77" s="830"/>
      <c r="C77" s="446" t="str">
        <f t="shared" ref="C77:H77" si="4">IF(C32&lt;&gt;"",C32,"")</f>
        <v/>
      </c>
      <c r="D77" s="440" t="str">
        <f t="shared" si="4"/>
        <v/>
      </c>
      <c r="E77" s="439" t="str">
        <f t="shared" si="4"/>
        <v/>
      </c>
      <c r="F77" s="439" t="str">
        <f t="shared" si="4"/>
        <v/>
      </c>
      <c r="G77" s="444" t="str">
        <f t="shared" si="4"/>
        <v/>
      </c>
      <c r="H77" s="441" t="str">
        <f t="shared" si="4"/>
        <v/>
      </c>
      <c r="K77" s="835" t="s">
        <v>626</v>
      </c>
      <c r="L77" s="879"/>
      <c r="M77" s="879"/>
      <c r="N77" s="879"/>
      <c r="O77" s="880"/>
    </row>
    <row r="78" spans="1:15" x14ac:dyDescent="0.35">
      <c r="A78" s="830"/>
      <c r="C78" s="446" t="str">
        <f t="shared" ref="C78:H78" si="5">IF(C33&lt;&gt;"",C33,"")</f>
        <v/>
      </c>
      <c r="D78" s="440" t="str">
        <f t="shared" si="5"/>
        <v/>
      </c>
      <c r="E78" s="439" t="str">
        <f t="shared" si="5"/>
        <v/>
      </c>
      <c r="F78" s="439" t="str">
        <f t="shared" si="5"/>
        <v/>
      </c>
      <c r="G78" s="444" t="str">
        <f t="shared" si="5"/>
        <v/>
      </c>
      <c r="H78" s="441" t="str">
        <f t="shared" si="5"/>
        <v/>
      </c>
      <c r="K78" s="881"/>
      <c r="L78" s="882"/>
      <c r="M78" s="882"/>
      <c r="N78" s="882"/>
      <c r="O78" s="883"/>
    </row>
    <row r="79" spans="1:15" x14ac:dyDescent="0.35">
      <c r="A79" s="830"/>
      <c r="C79" s="446" t="str">
        <f t="shared" ref="C79:H79" si="6">IF(C34&lt;&gt;"",C34,"")</f>
        <v/>
      </c>
      <c r="D79" s="440" t="str">
        <f t="shared" si="6"/>
        <v/>
      </c>
      <c r="E79" s="439" t="str">
        <f t="shared" si="6"/>
        <v/>
      </c>
      <c r="F79" s="439" t="str">
        <f t="shared" si="6"/>
        <v/>
      </c>
      <c r="G79" s="444" t="str">
        <f t="shared" si="6"/>
        <v/>
      </c>
      <c r="H79" s="441" t="str">
        <f t="shared" si="6"/>
        <v/>
      </c>
      <c r="K79" s="881"/>
      <c r="L79" s="882"/>
      <c r="M79" s="882"/>
      <c r="N79" s="882"/>
      <c r="O79" s="883"/>
    </row>
    <row r="80" spans="1:15" x14ac:dyDescent="0.35">
      <c r="A80" s="830"/>
      <c r="C80" s="446" t="str">
        <f t="shared" ref="C80:H80" si="7">IF(C35&lt;&gt;"",C35,"")</f>
        <v/>
      </c>
      <c r="D80" s="440" t="str">
        <f t="shared" si="7"/>
        <v/>
      </c>
      <c r="E80" s="439" t="str">
        <f t="shared" si="7"/>
        <v/>
      </c>
      <c r="F80" s="439" t="str">
        <f t="shared" si="7"/>
        <v/>
      </c>
      <c r="G80" s="444" t="str">
        <f t="shared" si="7"/>
        <v/>
      </c>
      <c r="H80" s="441" t="str">
        <f t="shared" si="7"/>
        <v/>
      </c>
      <c r="K80" s="881"/>
      <c r="L80" s="882"/>
      <c r="M80" s="882"/>
      <c r="N80" s="882"/>
      <c r="O80" s="883"/>
    </row>
    <row r="81" spans="1:15" x14ac:dyDescent="0.35">
      <c r="A81" s="830"/>
      <c r="C81" s="446" t="str">
        <f t="shared" ref="C81:H81" si="8">IF(C36&lt;&gt;"",C36,"")</f>
        <v/>
      </c>
      <c r="D81" s="440" t="str">
        <f t="shared" si="8"/>
        <v/>
      </c>
      <c r="E81" s="439" t="str">
        <f t="shared" si="8"/>
        <v/>
      </c>
      <c r="F81" s="439" t="str">
        <f t="shared" si="8"/>
        <v/>
      </c>
      <c r="G81" s="444" t="str">
        <f t="shared" si="8"/>
        <v/>
      </c>
      <c r="H81" s="441" t="str">
        <f t="shared" si="8"/>
        <v/>
      </c>
      <c r="K81" s="884"/>
      <c r="L81" s="885"/>
      <c r="M81" s="885"/>
      <c r="N81" s="885"/>
      <c r="O81" s="886"/>
    </row>
    <row r="82" spans="1:15" x14ac:dyDescent="0.35">
      <c r="A82" s="830"/>
      <c r="C82" s="446" t="str">
        <f t="shared" ref="C82:H82" si="9">IF(C37&lt;&gt;"",C37,"")</f>
        <v/>
      </c>
      <c r="D82" s="440" t="str">
        <f t="shared" si="9"/>
        <v/>
      </c>
      <c r="E82" s="439" t="str">
        <f t="shared" si="9"/>
        <v/>
      </c>
      <c r="F82" s="439" t="str">
        <f t="shared" si="9"/>
        <v/>
      </c>
      <c r="G82" s="444" t="str">
        <f t="shared" si="9"/>
        <v/>
      </c>
      <c r="H82" s="441" t="str">
        <f t="shared" si="9"/>
        <v/>
      </c>
    </row>
    <row r="83" spans="1:15" x14ac:dyDescent="0.35">
      <c r="A83" s="830"/>
      <c r="C83" s="446" t="str">
        <f t="shared" ref="C83:H83" si="10">IF(C38&lt;&gt;"",C38,"")</f>
        <v/>
      </c>
      <c r="D83" s="440" t="str">
        <f t="shared" si="10"/>
        <v/>
      </c>
      <c r="E83" s="439" t="str">
        <f t="shared" si="10"/>
        <v/>
      </c>
      <c r="F83" s="439" t="str">
        <f t="shared" si="10"/>
        <v/>
      </c>
      <c r="G83" s="444" t="str">
        <f t="shared" si="10"/>
        <v/>
      </c>
      <c r="H83" s="441" t="str">
        <f t="shared" si="10"/>
        <v/>
      </c>
    </row>
    <row r="84" spans="1:15" x14ac:dyDescent="0.35">
      <c r="A84" s="830"/>
      <c r="C84" s="446" t="str">
        <f t="shared" ref="C84:H84" si="11">IF(C39&lt;&gt;"",C39,"")</f>
        <v/>
      </c>
      <c r="D84" s="440" t="str">
        <f t="shared" si="11"/>
        <v/>
      </c>
      <c r="E84" s="439" t="str">
        <f t="shared" si="11"/>
        <v/>
      </c>
      <c r="F84" s="439" t="str">
        <f t="shared" si="11"/>
        <v/>
      </c>
      <c r="G84" s="444" t="str">
        <f t="shared" si="11"/>
        <v/>
      </c>
      <c r="H84" s="441" t="str">
        <f t="shared" si="11"/>
        <v/>
      </c>
    </row>
    <row r="85" spans="1:15" x14ac:dyDescent="0.35">
      <c r="A85" s="830"/>
      <c r="C85" s="446" t="str">
        <f t="shared" ref="C85:H85" si="12">IF(C40&lt;&gt;"",C40,"")</f>
        <v/>
      </c>
      <c r="D85" s="440" t="str">
        <f t="shared" si="12"/>
        <v/>
      </c>
      <c r="E85" s="439" t="str">
        <f t="shared" si="12"/>
        <v/>
      </c>
      <c r="F85" s="439" t="str">
        <f t="shared" si="12"/>
        <v/>
      </c>
      <c r="G85" s="444" t="str">
        <f t="shared" si="12"/>
        <v/>
      </c>
      <c r="H85" s="441" t="str">
        <f t="shared" si="12"/>
        <v/>
      </c>
    </row>
    <row r="86" spans="1:15" x14ac:dyDescent="0.35">
      <c r="A86" s="830"/>
      <c r="C86" s="446" t="str">
        <f t="shared" ref="C86:H86" si="13">IF(C41&lt;&gt;"",C41,"")</f>
        <v/>
      </c>
      <c r="D86" s="440" t="str">
        <f t="shared" si="13"/>
        <v/>
      </c>
      <c r="E86" s="439" t="str">
        <f t="shared" si="13"/>
        <v/>
      </c>
      <c r="F86" s="439" t="str">
        <f t="shared" si="13"/>
        <v/>
      </c>
      <c r="G86" s="444" t="str">
        <f t="shared" si="13"/>
        <v/>
      </c>
      <c r="H86" s="441" t="str">
        <f t="shared" si="13"/>
        <v/>
      </c>
    </row>
    <row r="87" spans="1:15" x14ac:dyDescent="0.35">
      <c r="A87" s="830"/>
      <c r="C87" s="446" t="str">
        <f t="shared" ref="C87:H87" si="14">IF(C42&lt;&gt;"",C42,"")</f>
        <v/>
      </c>
      <c r="D87" s="440" t="str">
        <f t="shared" si="14"/>
        <v/>
      </c>
      <c r="E87" s="439" t="str">
        <f t="shared" si="14"/>
        <v/>
      </c>
      <c r="F87" s="439" t="str">
        <f t="shared" si="14"/>
        <v/>
      </c>
      <c r="G87" s="444" t="str">
        <f t="shared" si="14"/>
        <v/>
      </c>
      <c r="H87" s="441" t="str">
        <f t="shared" si="14"/>
        <v/>
      </c>
    </row>
    <row r="88" spans="1:15" x14ac:dyDescent="0.35">
      <c r="A88" s="830"/>
      <c r="C88" s="446" t="str">
        <f t="shared" ref="C88:H88" si="15">IF(C43&lt;&gt;"",C43,"")</f>
        <v/>
      </c>
      <c r="D88" s="440" t="str">
        <f t="shared" si="15"/>
        <v/>
      </c>
      <c r="E88" s="439" t="str">
        <f t="shared" si="15"/>
        <v/>
      </c>
      <c r="F88" s="439" t="str">
        <f t="shared" si="15"/>
        <v/>
      </c>
      <c r="G88" s="444" t="str">
        <f t="shared" si="15"/>
        <v/>
      </c>
      <c r="H88" s="441" t="str">
        <f t="shared" si="15"/>
        <v/>
      </c>
    </row>
    <row r="89" spans="1:15" x14ac:dyDescent="0.35">
      <c r="A89" s="830"/>
      <c r="C89" s="446" t="str">
        <f t="shared" ref="C89:H89" si="16">IF(C44&lt;&gt;"",C44,"")</f>
        <v/>
      </c>
      <c r="D89" s="440" t="str">
        <f t="shared" si="16"/>
        <v/>
      </c>
      <c r="E89" s="439" t="str">
        <f t="shared" si="16"/>
        <v/>
      </c>
      <c r="F89" s="439" t="str">
        <f t="shared" si="16"/>
        <v/>
      </c>
      <c r="G89" s="444" t="str">
        <f t="shared" si="16"/>
        <v/>
      </c>
      <c r="H89" s="441" t="str">
        <f t="shared" si="16"/>
        <v/>
      </c>
    </row>
    <row r="90" spans="1:15" x14ac:dyDescent="0.35">
      <c r="A90" s="830"/>
      <c r="C90" s="446" t="str">
        <f t="shared" ref="C90:H90" si="17">IF(C45&lt;&gt;"",C45,"")</f>
        <v/>
      </c>
      <c r="D90" s="440" t="str">
        <f t="shared" si="17"/>
        <v/>
      </c>
      <c r="E90" s="439" t="str">
        <f t="shared" si="17"/>
        <v/>
      </c>
      <c r="F90" s="439" t="str">
        <f t="shared" si="17"/>
        <v/>
      </c>
      <c r="G90" s="444" t="str">
        <f t="shared" si="17"/>
        <v/>
      </c>
      <c r="H90" s="441" t="str">
        <f t="shared" si="17"/>
        <v/>
      </c>
    </row>
    <row r="91" spans="1:15" x14ac:dyDescent="0.35">
      <c r="A91" s="830"/>
      <c r="C91" s="446" t="str">
        <f t="shared" ref="C91:H91" si="18">IF(C46&lt;&gt;"",C46,"")</f>
        <v/>
      </c>
      <c r="D91" s="440" t="str">
        <f t="shared" si="18"/>
        <v/>
      </c>
      <c r="E91" s="439" t="str">
        <f t="shared" si="18"/>
        <v/>
      </c>
      <c r="F91" s="439" t="str">
        <f t="shared" si="18"/>
        <v/>
      </c>
      <c r="G91" s="444" t="str">
        <f t="shared" si="18"/>
        <v/>
      </c>
      <c r="H91" s="441" t="str">
        <f t="shared" si="18"/>
        <v/>
      </c>
    </row>
    <row r="92" spans="1:15" x14ac:dyDescent="0.35">
      <c r="A92" s="830"/>
      <c r="C92" s="446" t="str">
        <f t="shared" ref="C92:H92" si="19">IF(C47&lt;&gt;"",C47,"")</f>
        <v/>
      </c>
      <c r="D92" s="440" t="str">
        <f t="shared" si="19"/>
        <v/>
      </c>
      <c r="E92" s="439" t="str">
        <f t="shared" si="19"/>
        <v/>
      </c>
      <c r="F92" s="439" t="str">
        <f t="shared" si="19"/>
        <v/>
      </c>
      <c r="G92" s="444" t="str">
        <f t="shared" si="19"/>
        <v/>
      </c>
      <c r="H92" s="441" t="str">
        <f t="shared" si="19"/>
        <v/>
      </c>
    </row>
    <row r="93" spans="1:15" x14ac:dyDescent="0.35">
      <c r="A93" s="830"/>
      <c r="B93" s="3"/>
      <c r="C93" s="446" t="str">
        <f t="shared" ref="C93:H93" si="20">IF(C48&lt;&gt;"",C48,"")</f>
        <v/>
      </c>
      <c r="D93" s="440" t="str">
        <f t="shared" si="20"/>
        <v/>
      </c>
      <c r="E93" s="439" t="str">
        <f t="shared" si="20"/>
        <v/>
      </c>
      <c r="F93" s="439" t="str">
        <f t="shared" si="20"/>
        <v/>
      </c>
      <c r="G93" s="444" t="str">
        <f t="shared" si="20"/>
        <v/>
      </c>
      <c r="H93" s="441" t="str">
        <f t="shared" si="20"/>
        <v/>
      </c>
    </row>
    <row r="94" spans="1:15" x14ac:dyDescent="0.35">
      <c r="A94" s="830"/>
      <c r="C94" s="446" t="str">
        <f t="shared" ref="C94:H94" si="21">IF(C49&lt;&gt;"",C49,"")</f>
        <v/>
      </c>
      <c r="D94" s="440" t="str">
        <f t="shared" si="21"/>
        <v/>
      </c>
      <c r="E94" s="439" t="str">
        <f t="shared" si="21"/>
        <v/>
      </c>
      <c r="F94" s="439" t="str">
        <f t="shared" si="21"/>
        <v/>
      </c>
      <c r="G94" s="444" t="str">
        <f t="shared" si="21"/>
        <v/>
      </c>
      <c r="H94" s="441" t="str">
        <f t="shared" si="21"/>
        <v/>
      </c>
    </row>
    <row r="95" spans="1:15" x14ac:dyDescent="0.35">
      <c r="A95" s="830"/>
      <c r="C95" s="446" t="str">
        <f t="shared" ref="C95:H95" si="22">IF(C50&lt;&gt;"",C50,"")</f>
        <v/>
      </c>
      <c r="D95" s="440" t="str">
        <f t="shared" si="22"/>
        <v/>
      </c>
      <c r="E95" s="439" t="str">
        <f t="shared" si="22"/>
        <v/>
      </c>
      <c r="F95" s="439" t="str">
        <f t="shared" si="22"/>
        <v/>
      </c>
      <c r="G95" s="444" t="str">
        <f t="shared" si="22"/>
        <v/>
      </c>
      <c r="H95" s="441" t="str">
        <f t="shared" si="22"/>
        <v/>
      </c>
    </row>
    <row r="96" spans="1:15" x14ac:dyDescent="0.35">
      <c r="A96" s="830"/>
      <c r="C96" s="446" t="str">
        <f t="shared" ref="C96:H96" si="23">IF(C51&lt;&gt;"",C51,"")</f>
        <v/>
      </c>
      <c r="D96" s="440" t="str">
        <f t="shared" si="23"/>
        <v/>
      </c>
      <c r="E96" s="439" t="str">
        <f t="shared" si="23"/>
        <v/>
      </c>
      <c r="F96" s="439" t="str">
        <f t="shared" si="23"/>
        <v/>
      </c>
      <c r="G96" s="444" t="str">
        <f t="shared" si="23"/>
        <v/>
      </c>
      <c r="H96" s="441" t="str">
        <f t="shared" si="23"/>
        <v/>
      </c>
    </row>
    <row r="97" spans="1:9" x14ac:dyDescent="0.35">
      <c r="A97" s="830"/>
      <c r="C97" s="446" t="str">
        <f t="shared" ref="C97:H97" si="24">IF(C52&lt;&gt;"",C52,"")</f>
        <v/>
      </c>
      <c r="D97" s="440" t="str">
        <f t="shared" si="24"/>
        <v/>
      </c>
      <c r="E97" s="439" t="str">
        <f t="shared" si="24"/>
        <v/>
      </c>
      <c r="F97" s="439" t="str">
        <f t="shared" si="24"/>
        <v/>
      </c>
      <c r="G97" s="444" t="str">
        <f t="shared" si="24"/>
        <v/>
      </c>
      <c r="H97" s="441" t="str">
        <f t="shared" si="24"/>
        <v/>
      </c>
    </row>
    <row r="98" spans="1:9" x14ac:dyDescent="0.35">
      <c r="A98" s="830"/>
      <c r="C98" s="446" t="str">
        <f t="shared" ref="C98:H98" si="25">IF(C53&lt;&gt;"",C53,"")</f>
        <v/>
      </c>
      <c r="D98" s="440" t="str">
        <f t="shared" si="25"/>
        <v/>
      </c>
      <c r="E98" s="439" t="str">
        <f t="shared" si="25"/>
        <v/>
      </c>
      <c r="F98" s="439" t="str">
        <f t="shared" si="25"/>
        <v/>
      </c>
      <c r="G98" s="444" t="str">
        <f t="shared" si="25"/>
        <v/>
      </c>
      <c r="H98" s="441" t="str">
        <f t="shared" si="25"/>
        <v/>
      </c>
    </row>
    <row r="99" spans="1:9" x14ac:dyDescent="0.35">
      <c r="A99" s="830"/>
      <c r="C99" s="447"/>
      <c r="D99" s="447"/>
      <c r="E99" s="447"/>
      <c r="F99" s="447"/>
      <c r="G99" s="892" t="str">
        <f>IF(VSK&lt;&gt;0, SUM(H76:H98),"")</f>
        <v/>
      </c>
      <c r="H99" s="892"/>
    </row>
    <row r="100" spans="1:9" x14ac:dyDescent="0.35">
      <c r="A100" s="830"/>
    </row>
    <row r="101" spans="1:9" x14ac:dyDescent="0.35">
      <c r="A101" s="830"/>
      <c r="B101" s="3"/>
      <c r="C101" t="str">
        <f>IF(AND(ZuAbschlag&lt;&gt;0,VSK&lt;&gt;0),"Zu-/Abschlag:","")</f>
        <v/>
      </c>
      <c r="E101" s="15" t="str">
        <f>IF(AND(ZuAbschlag&lt;&gt;0,VSK&lt;&gt;0),ZuAbschlag,"")</f>
        <v/>
      </c>
      <c r="F101" s="481" t="str">
        <f>IF(AND(ZuAbschlag&lt;&gt;0,VSK&lt;&gt;0),G99*E101,"")</f>
        <v/>
      </c>
      <c r="G101" s="1" t="str">
        <f>IF(AND(ZuAbschlag&lt;&gt;0,VSK&lt;&gt;0,F56&lt;&gt;""),F56,"")</f>
        <v/>
      </c>
    </row>
    <row r="102" spans="1:9" ht="15.5" x14ac:dyDescent="0.35">
      <c r="A102" s="830"/>
      <c r="C102" t="str">
        <f>IF(AND(NK&lt;&gt;0,VSK&lt;&gt;0),"Nebenkosten:","")</f>
        <v/>
      </c>
      <c r="F102" s="481" t="str">
        <f>IF(AND(NK&lt;&gt;0,VSK&lt;&gt;0),NK,"")</f>
        <v/>
      </c>
      <c r="G102" s="1" t="str">
        <f>IF(AND(NK&lt;&gt;0,VSK&lt;&gt;0,F57&lt;&gt;""),F57,"")</f>
        <v/>
      </c>
      <c r="I102" s="16"/>
    </row>
    <row r="103" spans="1:9" x14ac:dyDescent="0.35">
      <c r="A103" s="830"/>
    </row>
    <row r="104" spans="1:9" ht="15.5" x14ac:dyDescent="0.35">
      <c r="A104" s="830"/>
      <c r="C104" s="16" t="s">
        <v>65</v>
      </c>
      <c r="D104" s="16"/>
      <c r="E104" s="16"/>
      <c r="F104" s="16"/>
      <c r="G104" s="893">
        <f>IF(VSK&gt;0,SUM(F102,F101,G99),0)</f>
        <v>0</v>
      </c>
      <c r="H104" s="894"/>
    </row>
    <row r="105" spans="1:9" x14ac:dyDescent="0.35">
      <c r="A105" s="830"/>
    </row>
  </sheetData>
  <mergeCells count="16">
    <mergeCell ref="A1:A61"/>
    <mergeCell ref="G59:H59"/>
    <mergeCell ref="C4:H5"/>
    <mergeCell ref="A62:A105"/>
    <mergeCell ref="B62:I62"/>
    <mergeCell ref="B63:I63"/>
    <mergeCell ref="B64:I64"/>
    <mergeCell ref="B65:I65"/>
    <mergeCell ref="B67:I67"/>
    <mergeCell ref="G104:H104"/>
    <mergeCell ref="C73:H73"/>
    <mergeCell ref="K77:O81"/>
    <mergeCell ref="C2:H2"/>
    <mergeCell ref="G99:H99"/>
    <mergeCell ref="F56:H56"/>
    <mergeCell ref="F57:H57"/>
  </mergeCells>
  <dataValidations disablePrompts="1" count="4">
    <dataValidation type="decimal" operator="greaterThan" showInputMessage="1" showErrorMessage="1" sqref="E56" xr:uid="{00000000-0002-0000-1900-000000000000}">
      <formula1>-1000</formula1>
    </dataValidation>
    <dataValidation type="decimal" operator="greaterThan" allowBlank="1" showInputMessage="1" showErrorMessage="1" sqref="E57" xr:uid="{00000000-0002-0000-1900-000001000000}">
      <formula1>-1000000</formula1>
    </dataValidation>
    <dataValidation type="decimal" operator="greaterThan" allowBlank="1" showInputMessage="1" showErrorMessage="1" sqref="F31:F53" xr:uid="{00000000-0002-0000-1900-000002000000}">
      <formula1>-99999</formula1>
    </dataValidation>
    <dataValidation type="list" showInputMessage="1" showErrorMessage="1" sqref="E31:E53" xr:uid="{00000000-0002-0000-1900-000003000000}">
      <formula1>$G$8:$G$27</formula1>
    </dataValidation>
  </dataValidations>
  <pageMargins left="0.70866141732283472" right="0.39370078740157483" top="0.59055118110236227" bottom="0.59055118110236227" header="0.31496062992125984" footer="0.31496062992125984"/>
  <pageSetup paperSize="9" orientation="portrait" r:id="rId1"/>
  <headerFooter>
    <oddFooter>&amp;L&amp;9&amp;F, &amp;A&amp;R&amp;9&amp;D</oddFooter>
  </headerFooter>
  <legacyDrawingHF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32"/>
  <dimension ref="A1:U105"/>
  <sheetViews>
    <sheetView topLeftCell="A16" zoomScaleNormal="100" workbookViewId="0">
      <selection activeCell="C4" sqref="C4:H5"/>
    </sheetView>
  </sheetViews>
  <sheetFormatPr baseColWidth="10" defaultColWidth="11.453125" defaultRowHeight="14.5" x14ac:dyDescent="0.35"/>
  <cols>
    <col min="1" max="1" width="4" customWidth="1"/>
    <col min="2" max="2" width="4.7265625" customWidth="1"/>
    <col min="3" max="3" width="5.7265625" customWidth="1"/>
    <col min="4" max="4" width="35.7265625" customWidth="1"/>
    <col min="5" max="7" width="8.453125" customWidth="1"/>
    <col min="8" max="8" width="11.453125" customWidth="1"/>
    <col min="9" max="9" width="4.26953125" customWidth="1"/>
  </cols>
  <sheetData>
    <row r="1" spans="1:21" ht="15.75" customHeight="1" x14ac:dyDescent="0.35">
      <c r="A1" s="833" t="s">
        <v>35</v>
      </c>
      <c r="B1" s="45"/>
      <c r="C1" s="45"/>
      <c r="D1" s="45"/>
      <c r="E1" s="45"/>
      <c r="F1" s="45"/>
      <c r="G1" s="45"/>
      <c r="H1" s="45"/>
      <c r="I1" s="45"/>
      <c r="K1" s="93" t="s">
        <v>699</v>
      </c>
      <c r="L1" s="93"/>
      <c r="M1" s="93"/>
      <c r="N1" s="94">
        <f ca="1">CELL("ZEILE",B67)</f>
        <v>67</v>
      </c>
    </row>
    <row r="2" spans="1:21" ht="23.5" x14ac:dyDescent="0.35">
      <c r="A2" s="833"/>
      <c r="B2" s="46"/>
      <c r="C2" s="864" t="s">
        <v>1151</v>
      </c>
      <c r="D2" s="865"/>
      <c r="E2" s="865"/>
      <c r="F2" s="865"/>
      <c r="G2" s="865"/>
      <c r="H2" s="866"/>
      <c r="I2" s="45"/>
      <c r="K2" s="175" t="s">
        <v>700</v>
      </c>
      <c r="L2" s="155"/>
      <c r="M2" s="155"/>
      <c r="N2" s="175">
        <f ca="1">CELL("ZEILE",G104)</f>
        <v>104</v>
      </c>
    </row>
    <row r="3" spans="1:21" ht="15.5" x14ac:dyDescent="0.35">
      <c r="A3" s="833"/>
      <c r="B3" s="330"/>
      <c r="C3" s="330"/>
      <c r="D3" s="330"/>
      <c r="E3" s="330"/>
      <c r="F3" s="330"/>
      <c r="G3" s="330"/>
      <c r="H3" s="330"/>
      <c r="I3" s="330"/>
      <c r="K3" s="175" t="s">
        <v>701</v>
      </c>
      <c r="L3" s="155"/>
      <c r="M3" s="155"/>
      <c r="N3" s="175">
        <f>E59</f>
        <v>0</v>
      </c>
    </row>
    <row r="4" spans="1:21" ht="7.5" customHeight="1" x14ac:dyDescent="0.35">
      <c r="A4" s="833"/>
      <c r="B4" s="330"/>
      <c r="C4" s="988" t="s">
        <v>939</v>
      </c>
      <c r="D4" s="989"/>
      <c r="E4" s="989"/>
      <c r="F4" s="989"/>
      <c r="G4" s="989"/>
      <c r="H4" s="990"/>
      <c r="I4" s="330"/>
      <c r="K4" s="175"/>
      <c r="L4" s="155"/>
      <c r="M4" s="155"/>
      <c r="N4" s="175"/>
    </row>
    <row r="5" spans="1:21" ht="63.75" customHeight="1" x14ac:dyDescent="0.35">
      <c r="A5" s="833"/>
      <c r="B5" s="330"/>
      <c r="C5" s="991"/>
      <c r="D5" s="992"/>
      <c r="E5" s="992"/>
      <c r="F5" s="992"/>
      <c r="G5" s="992"/>
      <c r="H5" s="993"/>
      <c r="I5" s="330"/>
      <c r="K5" s="175"/>
      <c r="L5" s="155"/>
      <c r="M5" s="155"/>
      <c r="N5" s="175"/>
    </row>
    <row r="6" spans="1:21" ht="7.5" customHeight="1" x14ac:dyDescent="0.35">
      <c r="A6" s="833"/>
      <c r="B6" s="330"/>
      <c r="C6" s="330"/>
      <c r="D6" s="330"/>
      <c r="E6" s="330"/>
      <c r="F6" s="330"/>
      <c r="G6" s="330"/>
      <c r="H6" s="330"/>
      <c r="I6" s="330"/>
      <c r="K6" s="175"/>
      <c r="L6" s="155"/>
      <c r="M6" s="155"/>
      <c r="N6" s="175"/>
    </row>
    <row r="7" spans="1:21" ht="16.5" customHeight="1" thickBot="1" x14ac:dyDescent="0.4">
      <c r="A7" s="833"/>
      <c r="B7" s="330"/>
      <c r="C7" s="330"/>
      <c r="D7" s="330" t="s">
        <v>600</v>
      </c>
      <c r="E7" s="330"/>
      <c r="F7" s="330"/>
      <c r="G7" s="343" t="s">
        <v>599</v>
      </c>
      <c r="H7" s="343" t="s">
        <v>601</v>
      </c>
      <c r="I7" s="330"/>
      <c r="K7" s="175"/>
      <c r="L7" s="155"/>
      <c r="M7" s="155"/>
      <c r="N7" s="175"/>
    </row>
    <row r="8" spans="1:21" ht="15" thickBot="1" x14ac:dyDescent="0.4">
      <c r="A8" s="833"/>
      <c r="B8" s="242"/>
      <c r="C8" s="546" t="s">
        <v>602</v>
      </c>
      <c r="D8" s="547"/>
      <c r="E8" s="547"/>
      <c r="F8" s="548"/>
      <c r="G8" s="429" t="s">
        <v>604</v>
      </c>
      <c r="H8" s="431">
        <f>ROUND(IS*0.5,2)</f>
        <v>0</v>
      </c>
      <c r="I8" s="432"/>
    </row>
    <row r="9" spans="1:21" s="234" customFormat="1" ht="15" customHeight="1" thickBot="1" x14ac:dyDescent="0.35">
      <c r="A9" s="833"/>
      <c r="B9" s="242"/>
      <c r="C9" s="546" t="s">
        <v>603</v>
      </c>
      <c r="D9" s="547"/>
      <c r="E9" s="547"/>
      <c r="F9" s="548"/>
      <c r="G9" s="429" t="s">
        <v>627</v>
      </c>
      <c r="H9" s="431">
        <f>ROUND(IS*0.65,2)</f>
        <v>0</v>
      </c>
      <c r="I9" s="432"/>
    </row>
    <row r="10" spans="1:21" s="234" customFormat="1" ht="15" customHeight="1" thickBot="1" x14ac:dyDescent="0.35">
      <c r="A10" s="833"/>
      <c r="B10" s="242"/>
      <c r="C10" s="546" t="s">
        <v>605</v>
      </c>
      <c r="D10" s="547"/>
      <c r="E10" s="547"/>
      <c r="F10" s="548"/>
      <c r="G10" s="429" t="s">
        <v>606</v>
      </c>
      <c r="H10" s="431">
        <f>ROUND(IS*0.8,2)</f>
        <v>0</v>
      </c>
      <c r="I10" s="432"/>
      <c r="K10" s="433"/>
      <c r="M10" s="434"/>
    </row>
    <row r="11" spans="1:21" s="234" customFormat="1" ht="15" customHeight="1" thickBot="1" x14ac:dyDescent="0.35">
      <c r="A11" s="833"/>
      <c r="B11" s="242"/>
      <c r="C11" s="546" t="s">
        <v>1113</v>
      </c>
      <c r="D11" s="547"/>
      <c r="E11" s="547"/>
      <c r="F11" s="548"/>
      <c r="G11" s="429" t="s">
        <v>1116</v>
      </c>
      <c r="H11" s="431">
        <f>ROUND(H10*0.667,2)</f>
        <v>0</v>
      </c>
      <c r="I11" s="432"/>
      <c r="K11" s="433"/>
      <c r="M11" s="434"/>
      <c r="P11" s="433"/>
      <c r="Q11" s="433"/>
      <c r="R11" s="433"/>
      <c r="S11" s="433"/>
      <c r="T11" s="433"/>
      <c r="U11" s="433"/>
    </row>
    <row r="12" spans="1:21" s="234" customFormat="1" ht="15" customHeight="1" thickBot="1" x14ac:dyDescent="0.35">
      <c r="A12" s="833"/>
      <c r="B12" s="336"/>
      <c r="C12" s="546" t="s">
        <v>612</v>
      </c>
      <c r="D12" s="547"/>
      <c r="E12" s="547"/>
      <c r="F12" s="548"/>
      <c r="G12" s="429" t="s">
        <v>613</v>
      </c>
      <c r="H12" s="431">
        <f>ROUND(IS*0.8+0.15*IS,2)</f>
        <v>0</v>
      </c>
      <c r="I12" s="336"/>
      <c r="K12" s="433"/>
      <c r="M12" s="434"/>
      <c r="P12" s="433"/>
      <c r="Q12" s="433"/>
      <c r="R12" s="433"/>
      <c r="S12" s="433"/>
      <c r="T12" s="433"/>
      <c r="U12" s="433"/>
    </row>
    <row r="13" spans="1:21" s="234" customFormat="1" ht="15" customHeight="1" thickBot="1" x14ac:dyDescent="0.35">
      <c r="A13" s="833"/>
      <c r="B13" s="336"/>
      <c r="C13" s="546" t="s">
        <v>607</v>
      </c>
      <c r="D13" s="547"/>
      <c r="E13" s="547"/>
      <c r="F13" s="548"/>
      <c r="G13" s="429" t="s">
        <v>608</v>
      </c>
      <c r="H13" s="431">
        <f>ROUND(IS*1,2)</f>
        <v>0</v>
      </c>
      <c r="I13" s="336"/>
      <c r="K13" s="433"/>
      <c r="M13" s="434"/>
      <c r="P13" s="433"/>
      <c r="Q13" s="433"/>
      <c r="R13" s="433"/>
      <c r="S13" s="433"/>
      <c r="T13" s="433"/>
      <c r="U13" s="433"/>
    </row>
    <row r="14" spans="1:21" s="234" customFormat="1" ht="15" customHeight="1" thickBot="1" x14ac:dyDescent="0.35">
      <c r="A14" s="833"/>
      <c r="B14" s="336"/>
      <c r="C14" s="546" t="s">
        <v>1114</v>
      </c>
      <c r="D14" s="547"/>
      <c r="E14" s="547"/>
      <c r="F14" s="548"/>
      <c r="G14" s="429" t="s">
        <v>1115</v>
      </c>
      <c r="H14" s="431">
        <f>ROUND(H13*0.667,2)</f>
        <v>0</v>
      </c>
      <c r="I14" s="336"/>
      <c r="K14" s="433"/>
      <c r="M14" s="434"/>
      <c r="P14" s="433"/>
      <c r="Q14" s="433"/>
      <c r="R14" s="433"/>
      <c r="S14" s="433"/>
      <c r="T14" s="433"/>
      <c r="U14" s="433"/>
    </row>
    <row r="15" spans="1:21" s="234" customFormat="1" ht="15" customHeight="1" thickBot="1" x14ac:dyDescent="0.35">
      <c r="A15" s="833"/>
      <c r="B15" s="336"/>
      <c r="C15" s="546" t="s">
        <v>946</v>
      </c>
      <c r="D15" s="547"/>
      <c r="E15" s="547"/>
      <c r="F15" s="548"/>
      <c r="G15" s="429" t="s">
        <v>947</v>
      </c>
      <c r="H15" s="431">
        <f>ROUND(IS*1.15,2)</f>
        <v>0</v>
      </c>
      <c r="I15" s="336"/>
      <c r="K15" s="433"/>
      <c r="L15" s="433"/>
      <c r="M15" s="435"/>
      <c r="N15" s="433"/>
      <c r="O15" s="433"/>
      <c r="P15" s="433"/>
      <c r="Q15" s="433"/>
      <c r="R15" s="433"/>
      <c r="S15" s="433"/>
      <c r="T15" s="433"/>
      <c r="U15" s="433"/>
    </row>
    <row r="16" spans="1:21" s="234" customFormat="1" ht="15" customHeight="1" thickBot="1" x14ac:dyDescent="0.35">
      <c r="A16" s="833"/>
      <c r="B16" s="336"/>
      <c r="C16" s="546" t="s">
        <v>609</v>
      </c>
      <c r="D16" s="547"/>
      <c r="E16" s="547"/>
      <c r="F16" s="548"/>
      <c r="G16" s="429" t="s">
        <v>835</v>
      </c>
      <c r="H16" s="431">
        <f>ROUND(IS*1.25,2)</f>
        <v>0</v>
      </c>
      <c r="I16" s="336"/>
      <c r="P16" s="433"/>
      <c r="Q16" s="433"/>
      <c r="R16" s="433"/>
      <c r="S16" s="433"/>
      <c r="T16" s="433"/>
      <c r="U16" s="433"/>
    </row>
    <row r="17" spans="1:21" s="234" customFormat="1" ht="15" customHeight="1" thickBot="1" x14ac:dyDescent="0.35">
      <c r="A17" s="833"/>
      <c r="B17" s="336"/>
      <c r="C17" s="546" t="s">
        <v>1109</v>
      </c>
      <c r="D17" s="547"/>
      <c r="E17" s="547"/>
      <c r="F17" s="548"/>
      <c r="G17" s="429" t="s">
        <v>833</v>
      </c>
      <c r="H17" s="431">
        <f>ROUND(IS*1+H23+H24,2)</f>
        <v>0</v>
      </c>
      <c r="I17" s="336"/>
      <c r="K17" s="433"/>
      <c r="L17" s="433"/>
      <c r="M17" s="436"/>
      <c r="N17" s="433"/>
      <c r="O17" s="433"/>
      <c r="P17" s="433"/>
      <c r="Q17" s="433"/>
      <c r="R17" s="433"/>
      <c r="S17" s="433"/>
      <c r="T17" s="433"/>
      <c r="U17" s="433"/>
    </row>
    <row r="18" spans="1:21" s="234" customFormat="1" ht="15" customHeight="1" thickBot="1" x14ac:dyDescent="0.35">
      <c r="A18" s="833"/>
      <c r="B18" s="336"/>
      <c r="C18" s="546" t="s">
        <v>1110</v>
      </c>
      <c r="D18" s="547"/>
      <c r="E18" s="547"/>
      <c r="F18" s="548"/>
      <c r="G18" s="429" t="s">
        <v>834</v>
      </c>
      <c r="H18" s="431">
        <f>ROUND(IS*1.6+H23,2)</f>
        <v>0</v>
      </c>
      <c r="I18" s="336"/>
      <c r="K18" s="433"/>
      <c r="L18" s="433"/>
      <c r="M18" s="436"/>
      <c r="N18" s="433"/>
      <c r="O18" s="433"/>
      <c r="P18" s="433"/>
      <c r="Q18" s="433"/>
      <c r="R18" s="433"/>
      <c r="S18" s="433"/>
      <c r="T18" s="433"/>
      <c r="U18" s="433"/>
    </row>
    <row r="19" spans="1:21" s="234" customFormat="1" ht="15" customHeight="1" thickBot="1" x14ac:dyDescent="0.35">
      <c r="A19" s="833"/>
      <c r="B19" s="336"/>
      <c r="C19" s="546" t="s">
        <v>1111</v>
      </c>
      <c r="D19" s="547"/>
      <c r="E19" s="547"/>
      <c r="F19" s="548"/>
      <c r="G19" s="429" t="s">
        <v>1117</v>
      </c>
      <c r="H19" s="431">
        <f>ROUND(IS*1*0.667,2)</f>
        <v>0</v>
      </c>
      <c r="I19" s="336"/>
      <c r="K19" s="433"/>
      <c r="L19" s="433"/>
      <c r="M19" s="436"/>
      <c r="N19" s="433"/>
      <c r="O19" s="433"/>
      <c r="P19" s="433"/>
      <c r="Q19" s="433"/>
      <c r="R19" s="433"/>
      <c r="S19" s="433"/>
      <c r="T19" s="433"/>
      <c r="U19" s="433"/>
    </row>
    <row r="20" spans="1:21" s="234" customFormat="1" ht="15" customHeight="1" thickBot="1" x14ac:dyDescent="0.35">
      <c r="A20" s="833"/>
      <c r="B20" s="336"/>
      <c r="C20" s="546" t="s">
        <v>1112</v>
      </c>
      <c r="D20" s="547"/>
      <c r="E20" s="547"/>
      <c r="F20" s="548"/>
      <c r="G20" s="429" t="s">
        <v>1118</v>
      </c>
      <c r="H20" s="431">
        <f>ROUND(IS*1.6*0.667,2)</f>
        <v>0</v>
      </c>
      <c r="I20" s="336"/>
      <c r="K20" s="433"/>
      <c r="L20" s="433"/>
      <c r="M20" s="436"/>
      <c r="N20" s="433"/>
      <c r="O20" s="433"/>
      <c r="P20" s="433"/>
      <c r="Q20" s="433"/>
      <c r="R20" s="433"/>
      <c r="S20" s="433"/>
      <c r="T20" s="433"/>
      <c r="U20" s="433"/>
    </row>
    <row r="21" spans="1:21" s="234" customFormat="1" ht="15" customHeight="1" thickBot="1" x14ac:dyDescent="0.35">
      <c r="A21" s="833"/>
      <c r="B21" s="336"/>
      <c r="C21" s="546" t="s">
        <v>1107</v>
      </c>
      <c r="D21" s="547"/>
      <c r="E21" s="547"/>
      <c r="F21" s="548"/>
      <c r="G21" s="429" t="s">
        <v>1119</v>
      </c>
      <c r="H21" s="431">
        <f>ROUND(IS*1+H23+20*H26,2)</f>
        <v>13</v>
      </c>
      <c r="I21" s="336"/>
      <c r="K21" s="433"/>
      <c r="L21" s="433"/>
      <c r="M21" s="436"/>
      <c r="N21" s="433"/>
      <c r="O21" s="433"/>
      <c r="P21" s="433"/>
      <c r="Q21" s="433"/>
      <c r="R21" s="433"/>
      <c r="S21" s="433"/>
      <c r="T21" s="433"/>
      <c r="U21" s="433"/>
    </row>
    <row r="22" spans="1:21" s="234" customFormat="1" ht="15" customHeight="1" thickBot="1" x14ac:dyDescent="0.35">
      <c r="A22" s="833"/>
      <c r="B22" s="336"/>
      <c r="C22" s="546" t="s">
        <v>1108</v>
      </c>
      <c r="D22" s="547"/>
      <c r="E22" s="547"/>
      <c r="F22" s="548"/>
      <c r="G22" s="429" t="s">
        <v>1120</v>
      </c>
      <c r="H22" s="431">
        <f>ROUND(IS*1.6+H23+20*H26,2)</f>
        <v>13</v>
      </c>
      <c r="I22" s="336"/>
      <c r="K22" s="433"/>
      <c r="L22" s="433"/>
      <c r="M22" s="436"/>
      <c r="N22" s="433"/>
      <c r="O22" s="433"/>
      <c r="P22" s="433"/>
      <c r="Q22" s="433"/>
      <c r="R22" s="433"/>
      <c r="S22" s="433"/>
      <c r="T22" s="433"/>
      <c r="U22" s="433"/>
    </row>
    <row r="23" spans="1:21" s="234" customFormat="1" ht="15" customHeight="1" thickBot="1" x14ac:dyDescent="0.35">
      <c r="A23" s="833"/>
      <c r="B23" s="336"/>
      <c r="C23" s="546" t="s">
        <v>831</v>
      </c>
      <c r="D23" s="547"/>
      <c r="E23" s="547"/>
      <c r="F23" s="548"/>
      <c r="G23" s="429" t="s">
        <v>830</v>
      </c>
      <c r="H23" s="431">
        <f>ROUND(0.15*IS,2)</f>
        <v>0</v>
      </c>
      <c r="I23" s="336"/>
      <c r="K23" s="433"/>
      <c r="L23" s="433"/>
      <c r="M23" s="436"/>
      <c r="N23" s="433"/>
      <c r="O23" s="433"/>
      <c r="P23" s="433"/>
      <c r="Q23" s="433"/>
      <c r="R23" s="433"/>
      <c r="S23" s="433"/>
      <c r="T23" s="433"/>
      <c r="U23" s="433"/>
    </row>
    <row r="24" spans="1:21" s="234" customFormat="1" ht="15" customHeight="1" thickBot="1" x14ac:dyDescent="0.35">
      <c r="A24" s="833"/>
      <c r="B24" s="336"/>
      <c r="C24" s="546" t="s">
        <v>829</v>
      </c>
      <c r="D24" s="547"/>
      <c r="E24" s="547"/>
      <c r="F24" s="548"/>
      <c r="G24" s="429" t="s">
        <v>832</v>
      </c>
      <c r="H24" s="431">
        <f>ROUND(0.05*IS,2)</f>
        <v>0</v>
      </c>
      <c r="I24" s="336"/>
      <c r="K24" s="433"/>
      <c r="L24" s="433"/>
      <c r="M24" s="436"/>
      <c r="N24" s="433"/>
      <c r="O24" s="433"/>
      <c r="P24" s="433"/>
      <c r="Q24" s="433"/>
      <c r="R24" s="433"/>
      <c r="S24" s="433"/>
      <c r="T24" s="433"/>
      <c r="U24" s="433"/>
    </row>
    <row r="25" spans="1:21" s="234" customFormat="1" ht="15" customHeight="1" thickBot="1" x14ac:dyDescent="0.35">
      <c r="A25" s="833"/>
      <c r="B25" s="336"/>
      <c r="C25" s="546" t="s">
        <v>942</v>
      </c>
      <c r="D25" s="547"/>
      <c r="E25" s="547"/>
      <c r="F25" s="548"/>
      <c r="G25" s="429" t="s">
        <v>943</v>
      </c>
      <c r="H25" s="431">
        <v>0.5</v>
      </c>
      <c r="I25" s="336"/>
      <c r="K25" s="433"/>
      <c r="L25" s="433"/>
      <c r="M25" s="436"/>
      <c r="N25" s="433"/>
      <c r="O25" s="433"/>
      <c r="P25" s="433"/>
      <c r="Q25" s="433"/>
      <c r="R25" s="433"/>
      <c r="S25" s="433"/>
      <c r="T25" s="433"/>
      <c r="U25" s="433"/>
    </row>
    <row r="26" spans="1:21" s="234" customFormat="1" ht="15" customHeight="1" thickBot="1" x14ac:dyDescent="0.35">
      <c r="A26" s="833"/>
      <c r="B26" s="336"/>
      <c r="C26" s="546" t="s">
        <v>1155</v>
      </c>
      <c r="D26" s="547"/>
      <c r="E26" s="547"/>
      <c r="F26" s="548"/>
      <c r="G26" s="429" t="s">
        <v>944</v>
      </c>
      <c r="H26" s="431">
        <v>0.65</v>
      </c>
      <c r="I26" s="336"/>
      <c r="K26" s="433"/>
      <c r="L26" s="433"/>
      <c r="M26" s="436"/>
      <c r="N26" s="433"/>
      <c r="O26" s="433"/>
      <c r="P26" s="433"/>
      <c r="Q26" s="433"/>
      <c r="R26" s="433"/>
      <c r="S26" s="433"/>
      <c r="T26" s="433"/>
      <c r="U26" s="433"/>
    </row>
    <row r="27" spans="1:21" s="234" customFormat="1" ht="15" customHeight="1" thickBot="1" x14ac:dyDescent="0.35">
      <c r="A27" s="833"/>
      <c r="B27" s="336"/>
      <c r="C27" s="546" t="s">
        <v>941</v>
      </c>
      <c r="D27" s="547"/>
      <c r="E27" s="547"/>
      <c r="F27" s="548"/>
      <c r="G27" s="429" t="s">
        <v>945</v>
      </c>
      <c r="H27" s="431">
        <v>1</v>
      </c>
      <c r="I27" s="336"/>
      <c r="K27" s="433"/>
      <c r="L27" s="433"/>
      <c r="M27" s="436"/>
      <c r="N27" s="433"/>
      <c r="O27" s="433"/>
      <c r="P27" s="433"/>
      <c r="Q27" s="433"/>
      <c r="R27" s="433"/>
      <c r="S27" s="433"/>
      <c r="T27" s="433"/>
      <c r="U27" s="433"/>
    </row>
    <row r="28" spans="1:21" s="234" customFormat="1" ht="15" customHeight="1" x14ac:dyDescent="0.3">
      <c r="A28" s="833"/>
      <c r="B28" s="336"/>
      <c r="C28" s="336"/>
      <c r="D28" s="336"/>
      <c r="E28" s="336"/>
      <c r="F28" s="336"/>
      <c r="G28" s="336"/>
      <c r="H28" s="336"/>
      <c r="I28" s="336"/>
      <c r="K28" s="433"/>
      <c r="L28" s="433"/>
      <c r="M28" s="436"/>
      <c r="N28" s="433"/>
      <c r="O28" s="433"/>
      <c r="P28" s="433"/>
      <c r="Q28" s="433"/>
      <c r="R28" s="433"/>
      <c r="S28" s="433"/>
      <c r="T28" s="433"/>
      <c r="U28" s="433"/>
    </row>
    <row r="29" spans="1:21" s="234" customFormat="1" ht="15" customHeight="1" x14ac:dyDescent="0.3">
      <c r="A29" s="833"/>
      <c r="B29" s="336"/>
      <c r="C29" s="336"/>
      <c r="D29" s="336"/>
      <c r="E29" s="336"/>
      <c r="F29" s="336"/>
      <c r="G29" s="336"/>
      <c r="H29" s="336"/>
      <c r="I29" s="336"/>
      <c r="K29" s="433"/>
      <c r="L29" s="433"/>
      <c r="M29" s="436"/>
      <c r="N29" s="433"/>
      <c r="O29" s="433"/>
      <c r="P29" s="433"/>
      <c r="Q29" s="433"/>
      <c r="R29" s="433"/>
      <c r="S29" s="433"/>
      <c r="T29" s="433"/>
      <c r="U29" s="433"/>
    </row>
    <row r="30" spans="1:21" s="234" customFormat="1" ht="15" customHeight="1" thickBot="1" x14ac:dyDescent="0.35">
      <c r="A30" s="833"/>
      <c r="B30" s="336"/>
      <c r="C30" s="336" t="s">
        <v>618</v>
      </c>
      <c r="D30" s="336" t="s">
        <v>619</v>
      </c>
      <c r="E30" s="437" t="s">
        <v>617</v>
      </c>
      <c r="F30" s="437" t="s">
        <v>620</v>
      </c>
      <c r="G30" s="437" t="s">
        <v>601</v>
      </c>
      <c r="H30" s="437" t="s">
        <v>616</v>
      </c>
      <c r="I30" s="336"/>
      <c r="K30" s="433"/>
      <c r="L30" s="433"/>
      <c r="M30" s="436"/>
      <c r="N30" s="433"/>
      <c r="O30" s="433"/>
      <c r="P30" s="433"/>
      <c r="Q30" s="433"/>
      <c r="R30" s="433"/>
      <c r="S30" s="433"/>
      <c r="T30" s="433"/>
      <c r="U30" s="433"/>
    </row>
    <row r="31" spans="1:21" s="234" customFormat="1" ht="15" customHeight="1" thickBot="1" x14ac:dyDescent="0.35">
      <c r="A31" s="833"/>
      <c r="B31" s="63"/>
      <c r="C31" s="445"/>
      <c r="D31" s="449"/>
      <c r="E31" s="430"/>
      <c r="F31" s="430"/>
      <c r="G31" s="448" t="str">
        <f t="shared" ref="G31:G53" si="0">IF(E31&lt;&gt;"",VLOOKUP(E31,G$8:H$22,2,FALSE),"")</f>
        <v/>
      </c>
      <c r="H31" s="448" t="str">
        <f t="shared" ref="H31:H53" si="1">IF(AND(E31&lt;&gt;"",F31&lt;&gt;"",F31&gt;0),F31*G31,"")</f>
        <v/>
      </c>
      <c r="I31" s="64"/>
      <c r="K31" s="433"/>
      <c r="L31" s="433"/>
      <c r="M31" s="436"/>
      <c r="N31" s="433"/>
      <c r="O31" s="433"/>
      <c r="P31" s="433"/>
    </row>
    <row r="32" spans="1:21" ht="16" thickBot="1" x14ac:dyDescent="0.4">
      <c r="A32" s="833"/>
      <c r="B32" s="330"/>
      <c r="C32" s="445"/>
      <c r="D32" s="449"/>
      <c r="E32" s="430"/>
      <c r="F32" s="430"/>
      <c r="G32" s="448" t="str">
        <f t="shared" si="0"/>
        <v/>
      </c>
      <c r="H32" s="448" t="str">
        <f t="shared" si="1"/>
        <v/>
      </c>
      <c r="I32" s="330"/>
      <c r="K32" s="254"/>
      <c r="L32" s="254"/>
      <c r="M32" s="332"/>
      <c r="N32" s="254"/>
      <c r="O32" s="254"/>
      <c r="P32" s="254"/>
    </row>
    <row r="33" spans="1:16" ht="16" thickBot="1" x14ac:dyDescent="0.4">
      <c r="A33" s="833"/>
      <c r="B33" s="330"/>
      <c r="C33" s="445"/>
      <c r="D33" s="449"/>
      <c r="E33" s="430"/>
      <c r="F33" s="430"/>
      <c r="G33" s="448" t="str">
        <f t="shared" si="0"/>
        <v/>
      </c>
      <c r="H33" s="448" t="str">
        <f t="shared" si="1"/>
        <v/>
      </c>
      <c r="I33" s="330"/>
      <c r="K33" s="254"/>
      <c r="L33" s="254"/>
      <c r="M33" s="332"/>
      <c r="N33" s="254"/>
      <c r="O33" s="254"/>
      <c r="P33" s="254"/>
    </row>
    <row r="34" spans="1:16" ht="16" thickBot="1" x14ac:dyDescent="0.4">
      <c r="A34" s="833"/>
      <c r="B34" s="330"/>
      <c r="C34" s="445"/>
      <c r="D34" s="449"/>
      <c r="E34" s="430"/>
      <c r="F34" s="430"/>
      <c r="G34" s="448" t="str">
        <f t="shared" si="0"/>
        <v/>
      </c>
      <c r="H34" s="448" t="str">
        <f t="shared" si="1"/>
        <v/>
      </c>
      <c r="I34" s="330"/>
      <c r="K34" s="254"/>
      <c r="L34" s="254"/>
      <c r="M34" s="332"/>
      <c r="N34" s="254"/>
      <c r="O34" s="254"/>
      <c r="P34" s="254"/>
    </row>
    <row r="35" spans="1:16" ht="16" thickBot="1" x14ac:dyDescent="0.4">
      <c r="A35" s="833"/>
      <c r="B35" s="330"/>
      <c r="C35" s="445"/>
      <c r="D35" s="449"/>
      <c r="E35" s="430"/>
      <c r="F35" s="430"/>
      <c r="G35" s="448" t="str">
        <f t="shared" si="0"/>
        <v/>
      </c>
      <c r="H35" s="448" t="str">
        <f t="shared" si="1"/>
        <v/>
      </c>
      <c r="I35" s="330"/>
      <c r="K35" s="254"/>
      <c r="L35" s="254"/>
      <c r="M35" s="332"/>
      <c r="N35" s="254"/>
      <c r="O35" s="254"/>
      <c r="P35" s="254"/>
    </row>
    <row r="36" spans="1:16" ht="16" thickBot="1" x14ac:dyDescent="0.4">
      <c r="A36" s="833"/>
      <c r="B36" s="330"/>
      <c r="C36" s="445"/>
      <c r="D36" s="449"/>
      <c r="E36" s="430"/>
      <c r="F36" s="430"/>
      <c r="G36" s="448" t="str">
        <f t="shared" si="0"/>
        <v/>
      </c>
      <c r="H36" s="448" t="str">
        <f t="shared" si="1"/>
        <v/>
      </c>
      <c r="I36" s="330"/>
      <c r="K36" s="254"/>
      <c r="L36" s="254"/>
      <c r="M36" s="332"/>
      <c r="N36" s="254"/>
      <c r="O36" s="254"/>
      <c r="P36" s="254"/>
    </row>
    <row r="37" spans="1:16" ht="16" thickBot="1" x14ac:dyDescent="0.4">
      <c r="A37" s="833"/>
      <c r="B37" s="330"/>
      <c r="C37" s="445"/>
      <c r="D37" s="449"/>
      <c r="E37" s="430"/>
      <c r="F37" s="430"/>
      <c r="G37" s="448" t="str">
        <f t="shared" si="0"/>
        <v/>
      </c>
      <c r="H37" s="448" t="str">
        <f t="shared" si="1"/>
        <v/>
      </c>
      <c r="I37" s="330"/>
      <c r="K37" s="254"/>
      <c r="L37" s="254"/>
      <c r="M37" s="332"/>
      <c r="N37" s="254"/>
      <c r="O37" s="254"/>
      <c r="P37" s="254"/>
    </row>
    <row r="38" spans="1:16" ht="16" thickBot="1" x14ac:dyDescent="0.4">
      <c r="A38" s="833"/>
      <c r="B38" s="330"/>
      <c r="C38" s="445"/>
      <c r="D38" s="449"/>
      <c r="E38" s="430"/>
      <c r="F38" s="430"/>
      <c r="G38" s="448" t="str">
        <f t="shared" si="0"/>
        <v/>
      </c>
      <c r="H38" s="448" t="str">
        <f t="shared" si="1"/>
        <v/>
      </c>
      <c r="I38" s="330"/>
      <c r="K38" s="254"/>
      <c r="L38" s="254"/>
      <c r="M38" s="332"/>
      <c r="N38" s="254"/>
      <c r="O38" s="254"/>
      <c r="P38" s="254"/>
    </row>
    <row r="39" spans="1:16" ht="16" thickBot="1" x14ac:dyDescent="0.4">
      <c r="A39" s="833"/>
      <c r="B39" s="330"/>
      <c r="C39" s="445"/>
      <c r="D39" s="449"/>
      <c r="E39" s="430"/>
      <c r="F39" s="430"/>
      <c r="G39" s="448" t="str">
        <f t="shared" si="0"/>
        <v/>
      </c>
      <c r="H39" s="448" t="str">
        <f t="shared" si="1"/>
        <v/>
      </c>
      <c r="I39" s="330"/>
      <c r="K39" s="254"/>
      <c r="L39" s="254"/>
      <c r="M39" s="332"/>
      <c r="N39" s="254"/>
      <c r="O39" s="254"/>
      <c r="P39" s="254"/>
    </row>
    <row r="40" spans="1:16" ht="16" thickBot="1" x14ac:dyDescent="0.4">
      <c r="A40" s="833"/>
      <c r="B40" s="330"/>
      <c r="C40" s="445"/>
      <c r="D40" s="449"/>
      <c r="E40" s="430"/>
      <c r="F40" s="430"/>
      <c r="G40" s="448" t="str">
        <f t="shared" si="0"/>
        <v/>
      </c>
      <c r="H40" s="448" t="str">
        <f t="shared" si="1"/>
        <v/>
      </c>
      <c r="I40" s="330"/>
      <c r="K40" s="254"/>
      <c r="L40" s="254"/>
      <c r="M40" s="332"/>
      <c r="N40" s="254"/>
      <c r="O40" s="254"/>
      <c r="P40" s="254"/>
    </row>
    <row r="41" spans="1:16" ht="16" thickBot="1" x14ac:dyDescent="0.4">
      <c r="A41" s="833"/>
      <c r="B41" s="330"/>
      <c r="C41" s="445"/>
      <c r="D41" s="449"/>
      <c r="E41" s="430"/>
      <c r="F41" s="430"/>
      <c r="G41" s="448" t="str">
        <f t="shared" si="0"/>
        <v/>
      </c>
      <c r="H41" s="448" t="str">
        <f t="shared" si="1"/>
        <v/>
      </c>
      <c r="I41" s="330"/>
      <c r="K41" s="254"/>
      <c r="L41" s="254"/>
      <c r="M41" s="332"/>
      <c r="N41" s="254"/>
      <c r="O41" s="254"/>
      <c r="P41" s="254"/>
    </row>
    <row r="42" spans="1:16" ht="16" thickBot="1" x14ac:dyDescent="0.4">
      <c r="A42" s="833"/>
      <c r="B42" s="330"/>
      <c r="C42" s="445"/>
      <c r="D42" s="449"/>
      <c r="E42" s="430"/>
      <c r="F42" s="430"/>
      <c r="G42" s="448" t="str">
        <f t="shared" si="0"/>
        <v/>
      </c>
      <c r="H42" s="448" t="str">
        <f t="shared" si="1"/>
        <v/>
      </c>
      <c r="I42" s="330"/>
      <c r="K42" s="254"/>
      <c r="L42" s="254"/>
      <c r="M42" s="332"/>
      <c r="N42" s="254"/>
      <c r="O42" s="254"/>
      <c r="P42" s="254"/>
    </row>
    <row r="43" spans="1:16" ht="16" thickBot="1" x14ac:dyDescent="0.4">
      <c r="A43" s="833"/>
      <c r="B43" s="330"/>
      <c r="C43" s="445"/>
      <c r="D43" s="449"/>
      <c r="E43" s="430"/>
      <c r="F43" s="430"/>
      <c r="G43" s="448" t="str">
        <f t="shared" si="0"/>
        <v/>
      </c>
      <c r="H43" s="448" t="str">
        <f t="shared" si="1"/>
        <v/>
      </c>
      <c r="I43" s="330"/>
      <c r="K43" s="254"/>
      <c r="L43" s="254"/>
      <c r="M43" s="332"/>
      <c r="N43" s="254"/>
      <c r="O43" s="254"/>
      <c r="P43" s="254"/>
    </row>
    <row r="44" spans="1:16" ht="16" thickBot="1" x14ac:dyDescent="0.4">
      <c r="A44" s="833"/>
      <c r="B44" s="330"/>
      <c r="C44" s="445"/>
      <c r="D44" s="449"/>
      <c r="E44" s="430"/>
      <c r="F44" s="430"/>
      <c r="G44" s="448" t="str">
        <f t="shared" si="0"/>
        <v/>
      </c>
      <c r="H44" s="448" t="str">
        <f t="shared" si="1"/>
        <v/>
      </c>
      <c r="I44" s="330"/>
      <c r="K44" s="254"/>
      <c r="L44" s="254"/>
      <c r="M44" s="332"/>
      <c r="N44" s="254"/>
      <c r="O44" s="254"/>
      <c r="P44" s="254"/>
    </row>
    <row r="45" spans="1:16" ht="16" thickBot="1" x14ac:dyDescent="0.4">
      <c r="A45" s="833"/>
      <c r="B45" s="330"/>
      <c r="C45" s="445"/>
      <c r="D45" s="449"/>
      <c r="E45" s="430"/>
      <c r="F45" s="430"/>
      <c r="G45" s="448" t="str">
        <f t="shared" si="0"/>
        <v/>
      </c>
      <c r="H45" s="448" t="str">
        <f t="shared" si="1"/>
        <v/>
      </c>
      <c r="I45" s="330"/>
      <c r="K45" s="254"/>
      <c r="L45" s="254"/>
      <c r="M45" s="332"/>
      <c r="N45" s="254"/>
      <c r="O45" s="254"/>
      <c r="P45" s="254"/>
    </row>
    <row r="46" spans="1:16" ht="16" thickBot="1" x14ac:dyDescent="0.4">
      <c r="A46" s="833"/>
      <c r="B46" s="330"/>
      <c r="C46" s="445"/>
      <c r="D46" s="449"/>
      <c r="E46" s="430"/>
      <c r="F46" s="430"/>
      <c r="G46" s="448" t="str">
        <f t="shared" si="0"/>
        <v/>
      </c>
      <c r="H46" s="448" t="str">
        <f t="shared" si="1"/>
        <v/>
      </c>
      <c r="I46" s="330"/>
      <c r="K46" s="254"/>
      <c r="L46" s="254"/>
      <c r="M46" s="332"/>
      <c r="N46" s="254"/>
      <c r="O46" s="254"/>
      <c r="P46" s="254"/>
    </row>
    <row r="47" spans="1:16" ht="16" thickBot="1" x14ac:dyDescent="0.4">
      <c r="A47" s="833"/>
      <c r="B47" s="330"/>
      <c r="C47" s="445"/>
      <c r="D47" s="449"/>
      <c r="E47" s="430"/>
      <c r="F47" s="430"/>
      <c r="G47" s="448" t="str">
        <f t="shared" si="0"/>
        <v/>
      </c>
      <c r="H47" s="448" t="str">
        <f t="shared" si="1"/>
        <v/>
      </c>
      <c r="I47" s="330"/>
      <c r="K47" s="254"/>
      <c r="L47" s="254"/>
      <c r="M47" s="332"/>
      <c r="N47" s="254"/>
      <c r="O47" s="254"/>
      <c r="P47" s="254"/>
    </row>
    <row r="48" spans="1:16" ht="16" thickBot="1" x14ac:dyDescent="0.4">
      <c r="A48" s="833"/>
      <c r="B48" s="330"/>
      <c r="C48" s="445"/>
      <c r="D48" s="449"/>
      <c r="E48" s="430"/>
      <c r="F48" s="430"/>
      <c r="G48" s="448" t="str">
        <f t="shared" si="0"/>
        <v/>
      </c>
      <c r="H48" s="448" t="str">
        <f t="shared" si="1"/>
        <v/>
      </c>
      <c r="I48" s="330"/>
      <c r="K48" s="254"/>
      <c r="L48" s="254"/>
      <c r="M48" s="332"/>
      <c r="N48" s="254"/>
      <c r="O48" s="254"/>
      <c r="P48" s="254"/>
    </row>
    <row r="49" spans="1:16" ht="16" thickBot="1" x14ac:dyDescent="0.4">
      <c r="A49" s="833"/>
      <c r="B49" s="330"/>
      <c r="C49" s="445"/>
      <c r="D49" s="449"/>
      <c r="E49" s="430"/>
      <c r="F49" s="430"/>
      <c r="G49" s="448" t="str">
        <f t="shared" si="0"/>
        <v/>
      </c>
      <c r="H49" s="448" t="str">
        <f t="shared" si="1"/>
        <v/>
      </c>
      <c r="I49" s="330"/>
      <c r="K49" s="254"/>
      <c r="L49" s="254"/>
      <c r="M49" s="332"/>
      <c r="N49" s="254"/>
      <c r="O49" s="254"/>
      <c r="P49" s="254"/>
    </row>
    <row r="50" spans="1:16" ht="16" thickBot="1" x14ac:dyDescent="0.4">
      <c r="A50" s="833"/>
      <c r="B50" s="330"/>
      <c r="C50" s="445"/>
      <c r="D50" s="449"/>
      <c r="E50" s="430"/>
      <c r="F50" s="430"/>
      <c r="G50" s="448" t="str">
        <f t="shared" si="0"/>
        <v/>
      </c>
      <c r="H50" s="448" t="str">
        <f t="shared" si="1"/>
        <v/>
      </c>
      <c r="I50" s="330"/>
      <c r="K50" s="254"/>
      <c r="L50" s="254"/>
      <c r="M50" s="332"/>
      <c r="N50" s="254"/>
      <c r="O50" s="254"/>
      <c r="P50" s="254"/>
    </row>
    <row r="51" spans="1:16" ht="16" thickBot="1" x14ac:dyDescent="0.4">
      <c r="A51" s="833"/>
      <c r="B51" s="330"/>
      <c r="C51" s="445"/>
      <c r="D51" s="449"/>
      <c r="E51" s="430"/>
      <c r="F51" s="430"/>
      <c r="G51" s="448" t="str">
        <f t="shared" si="0"/>
        <v/>
      </c>
      <c r="H51" s="448" t="str">
        <f t="shared" si="1"/>
        <v/>
      </c>
      <c r="I51" s="330"/>
      <c r="K51" s="254"/>
      <c r="L51" s="254"/>
      <c r="M51" s="332"/>
      <c r="N51" s="254"/>
      <c r="O51" s="254"/>
      <c r="P51" s="254"/>
    </row>
    <row r="52" spans="1:16" ht="16" thickBot="1" x14ac:dyDescent="0.4">
      <c r="A52" s="833"/>
      <c r="B52" s="330"/>
      <c r="C52" s="445"/>
      <c r="D52" s="449"/>
      <c r="E52" s="430"/>
      <c r="F52" s="430"/>
      <c r="G52" s="448" t="str">
        <f t="shared" si="0"/>
        <v/>
      </c>
      <c r="H52" s="448" t="str">
        <f t="shared" si="1"/>
        <v/>
      </c>
      <c r="I52" s="330"/>
      <c r="K52" s="254"/>
      <c r="L52" s="254"/>
      <c r="M52" s="332"/>
      <c r="N52" s="254"/>
      <c r="O52" s="254"/>
      <c r="P52" s="254"/>
    </row>
    <row r="53" spans="1:16" ht="16" thickBot="1" x14ac:dyDescent="0.4">
      <c r="A53" s="833"/>
      <c r="B53" s="330"/>
      <c r="C53" s="445"/>
      <c r="D53" s="449"/>
      <c r="E53" s="430"/>
      <c r="F53" s="430"/>
      <c r="G53" s="448" t="str">
        <f t="shared" si="0"/>
        <v/>
      </c>
      <c r="H53" s="448" t="str">
        <f t="shared" si="1"/>
        <v/>
      </c>
      <c r="I53" s="330"/>
      <c r="K53" s="254"/>
      <c r="L53" s="254"/>
      <c r="M53" s="332"/>
      <c r="N53" s="254"/>
      <c r="O53" s="254"/>
      <c r="P53" s="254"/>
    </row>
    <row r="54" spans="1:16" ht="9" customHeight="1" thickBot="1" x14ac:dyDescent="0.4">
      <c r="A54" s="833"/>
      <c r="B54" s="330"/>
      <c r="C54" s="330"/>
      <c r="D54" s="330"/>
      <c r="E54" s="330"/>
      <c r="F54" s="330"/>
      <c r="G54" s="330"/>
      <c r="H54" s="450" t="str">
        <f>IF(VSK&lt;&gt;0, SUM(H31:H53),"")</f>
        <v/>
      </c>
      <c r="I54" s="330"/>
      <c r="K54" s="254"/>
      <c r="L54" s="254"/>
      <c r="M54" s="332"/>
      <c r="N54" s="254"/>
      <c r="O54" s="254"/>
      <c r="P54" s="254"/>
    </row>
    <row r="55" spans="1:16" ht="15" customHeight="1" x14ac:dyDescent="0.35">
      <c r="A55" s="833"/>
      <c r="B55" s="46"/>
      <c r="C55" s="317"/>
      <c r="D55" s="318"/>
      <c r="E55" s="317"/>
      <c r="F55" s="592" t="s">
        <v>633</v>
      </c>
      <c r="G55" s="317"/>
      <c r="H55" s="319"/>
      <c r="I55" s="47"/>
      <c r="K55" s="254"/>
      <c r="L55" s="254"/>
      <c r="M55" s="332"/>
      <c r="N55" s="254"/>
      <c r="O55" s="254"/>
      <c r="P55" s="254"/>
    </row>
    <row r="56" spans="1:16" ht="15.5" x14ac:dyDescent="0.35">
      <c r="A56" s="833"/>
      <c r="B56" s="46"/>
      <c r="C56" s="47" t="s">
        <v>34</v>
      </c>
      <c r="D56" s="47"/>
      <c r="E56" s="320"/>
      <c r="F56" s="899"/>
      <c r="G56" s="900"/>
      <c r="H56" s="901"/>
      <c r="I56" s="47"/>
      <c r="K56" s="254"/>
      <c r="L56" s="254"/>
      <c r="M56" s="332"/>
      <c r="N56" s="254"/>
      <c r="O56" s="254"/>
      <c r="P56" s="254"/>
    </row>
    <row r="57" spans="1:16" ht="15.5" x14ac:dyDescent="0.35">
      <c r="A57" s="833"/>
      <c r="B57" s="46"/>
      <c r="C57" s="47" t="s">
        <v>722</v>
      </c>
      <c r="D57" s="47"/>
      <c r="E57" s="604"/>
      <c r="F57" s="868"/>
      <c r="G57" s="895"/>
      <c r="H57" s="869"/>
      <c r="I57" s="47"/>
      <c r="K57" s="254"/>
      <c r="L57" s="254"/>
      <c r="M57" s="254"/>
      <c r="N57" s="254"/>
      <c r="O57" s="254"/>
      <c r="P57" s="254"/>
    </row>
    <row r="58" spans="1:16" ht="9" customHeight="1" x14ac:dyDescent="0.35">
      <c r="A58" s="833"/>
      <c r="B58" s="46"/>
      <c r="C58" s="47"/>
      <c r="D58" s="47"/>
      <c r="E58" s="53"/>
      <c r="F58" s="47"/>
      <c r="G58" s="46"/>
      <c r="H58" s="46"/>
      <c r="I58" s="45"/>
    </row>
    <row r="59" spans="1:16" ht="17.25" customHeight="1" x14ac:dyDescent="0.5">
      <c r="A59" s="833"/>
      <c r="B59" s="45"/>
      <c r="C59" s="54" t="str">
        <f>IF(VSK=0, "UNVOLLSTÄNDIG AUSGEFÜLLT!","")</f>
        <v>UNVOLLSTÄNDIG AUSGEFÜLLT!</v>
      </c>
      <c r="D59" s="45"/>
      <c r="E59" s="438">
        <f>IF(SUM(H31:H53)&gt;0,1,0)</f>
        <v>0</v>
      </c>
      <c r="F59" s="45"/>
      <c r="G59" s="852" t="str">
        <f>IF(VSK&lt;&gt;0, G104,"")</f>
        <v/>
      </c>
      <c r="H59" s="852"/>
      <c r="I59" s="45"/>
    </row>
    <row r="60" spans="1:16" ht="15.5" x14ac:dyDescent="0.35">
      <c r="A60" s="833"/>
      <c r="B60" s="607"/>
      <c r="C60" s="607"/>
      <c r="D60" s="607"/>
      <c r="E60" s="607"/>
      <c r="F60" s="607"/>
      <c r="G60" s="607"/>
      <c r="H60" s="607"/>
      <c r="I60" s="607"/>
      <c r="P60" s="254"/>
    </row>
    <row r="61" spans="1:16" ht="15" customHeight="1" x14ac:dyDescent="0.35">
      <c r="A61" s="833"/>
      <c r="I61" s="577" t="str">
        <f ca="1">IF(VLOOKUP(B67,CHOOSE({5,4,3,2,1},Gesamt!L32:L65,Gesamt!M32:M65,Gesamt!N32:N65,Gesamt!O32:O65,Gesamt!P32:P65,),4,0)&gt;0,CONCATENATE("Pos. ",VLOOKUP(B67,CHOOSE({5,4,3,2,1},Gesamt!L32:L65,Gesamt!M32:M65,Gesamt!N32:N65,Gesamt!O32:O65,Gesamt!P32:P65,),VLOOKUP(Gesamt!C19,Gesamt!L5:N7,3,0),0)),"")</f>
        <v/>
      </c>
    </row>
    <row r="62" spans="1:16" ht="15" customHeight="1" x14ac:dyDescent="0.35">
      <c r="A62" s="830" t="s">
        <v>66</v>
      </c>
      <c r="B62" s="831" t="str">
        <f>CONCATENATE(Gesamt!C2, ": ", Gesamt!E2)</f>
        <v xml:space="preserve">Projekt: </v>
      </c>
      <c r="C62" s="831"/>
      <c r="D62" s="831"/>
      <c r="E62" s="831"/>
      <c r="F62" s="831"/>
      <c r="G62" s="831"/>
      <c r="H62" s="831"/>
      <c r="I62" s="831"/>
    </row>
    <row r="63" spans="1:16" x14ac:dyDescent="0.35">
      <c r="A63" s="830"/>
      <c r="B63" s="832" t="str">
        <f>CONCATENATE(Gesamt!C4, ": ", Gesamt!E4, IF(Gesamt!E5&lt;&gt;""," - ",""), IF(Gesamt!E5&lt;&gt;"",Gesamt!E5,""), IF(Gesamt!E6&lt;&gt;""," - GZ. ",""), IF(Gesamt!E6&lt;&gt;"",Gesamt!E6,""),)</f>
        <v xml:space="preserve">Auftraggeber: </v>
      </c>
      <c r="C63" s="832"/>
      <c r="D63" s="832"/>
      <c r="E63" s="832"/>
      <c r="F63" s="832"/>
      <c r="G63" s="832"/>
      <c r="H63" s="832"/>
      <c r="I63" s="832"/>
    </row>
    <row r="64" spans="1:16" x14ac:dyDescent="0.35">
      <c r="A64" s="830"/>
      <c r="B64" s="832" t="str">
        <f>CONCATENATE(Gesamt!C9, ": ",Gesamt!E9,  IF(Gesamt!C10&lt;&gt;""," - ",""), IF(Gesamt!C10&lt;&gt;"",Gesamt!E10,""), IF(Gesamt!C11&lt;&gt;""," - GZ. ",""), IF(Gesamt!C11&lt;&gt;"",Gesamt!E11,""), )</f>
        <v xml:space="preserve">Bieter:  -  - GZ. </v>
      </c>
      <c r="C64" s="832"/>
      <c r="D64" s="832"/>
      <c r="E64" s="832"/>
      <c r="F64" s="832"/>
      <c r="G64" s="832"/>
      <c r="H64" s="832"/>
      <c r="I64" s="832"/>
    </row>
    <row r="65" spans="1:15" x14ac:dyDescent="0.35">
      <c r="A65" s="830"/>
      <c r="B65" s="832" t="s">
        <v>41</v>
      </c>
      <c r="C65" s="832"/>
      <c r="D65" s="832"/>
      <c r="E65" s="832"/>
      <c r="F65" s="832"/>
      <c r="G65" s="832"/>
      <c r="H65" s="832"/>
      <c r="I65" s="832"/>
    </row>
    <row r="66" spans="1:15" x14ac:dyDescent="0.35">
      <c r="A66" s="830"/>
    </row>
    <row r="67" spans="1:15" ht="18.5" x14ac:dyDescent="0.35">
      <c r="A67" s="830"/>
      <c r="B67" s="843" t="str">
        <f>C2</f>
        <v>Regieleistung  A</v>
      </c>
      <c r="C67" s="843"/>
      <c r="D67" s="843"/>
      <c r="E67" s="843"/>
      <c r="F67" s="843"/>
      <c r="G67" s="843"/>
      <c r="H67" s="843"/>
      <c r="I67" s="843"/>
    </row>
    <row r="68" spans="1:15" x14ac:dyDescent="0.35">
      <c r="A68" s="830"/>
    </row>
    <row r="69" spans="1:15" x14ac:dyDescent="0.35">
      <c r="A69" s="830"/>
      <c r="B69" s="708"/>
      <c r="C69" s="708" t="s">
        <v>698</v>
      </c>
      <c r="D69" s="708"/>
      <c r="E69" s="708"/>
      <c r="F69" s="708"/>
      <c r="G69" s="708"/>
      <c r="H69" s="708"/>
    </row>
    <row r="70" spans="1:15" ht="7.5" customHeight="1" x14ac:dyDescent="0.35">
      <c r="A70" s="830"/>
      <c r="B70" s="708"/>
      <c r="C70" s="708"/>
      <c r="D70" s="708"/>
      <c r="E70" s="708"/>
      <c r="F70" s="708"/>
      <c r="G70" s="708"/>
      <c r="H70" s="708"/>
    </row>
    <row r="71" spans="1:15" ht="17.25" customHeight="1" x14ac:dyDescent="0.35">
      <c r="A71" s="830"/>
      <c r="B71" s="708"/>
      <c r="C71" s="708" t="s">
        <v>959</v>
      </c>
      <c r="D71" s="708"/>
      <c r="E71" s="709">
        <f>IS</f>
        <v>0</v>
      </c>
      <c r="F71" s="708"/>
      <c r="G71" s="708"/>
      <c r="H71" s="708"/>
    </row>
    <row r="72" spans="1:15" ht="6.75" customHeight="1" x14ac:dyDescent="0.35">
      <c r="A72" s="830"/>
      <c r="B72" s="708"/>
      <c r="C72" s="710"/>
      <c r="D72" s="708"/>
      <c r="E72" s="708"/>
      <c r="F72" s="708"/>
      <c r="G72" s="708"/>
      <c r="H72" s="708"/>
    </row>
    <row r="73" spans="1:15" ht="68.25" customHeight="1" x14ac:dyDescent="0.35">
      <c r="A73" s="830"/>
      <c r="C73" s="994" t="str">
        <f>C4</f>
        <v xml:space="preserve">Leistungsbeschreibung 
</v>
      </c>
      <c r="D73" s="994"/>
      <c r="E73" s="994"/>
      <c r="F73" s="994"/>
      <c r="G73" s="994"/>
      <c r="H73" s="994"/>
    </row>
    <row r="74" spans="1:15" ht="6.75" customHeight="1" x14ac:dyDescent="0.35">
      <c r="A74" s="830"/>
      <c r="C74" s="15"/>
    </row>
    <row r="75" spans="1:15" ht="14.25" customHeight="1" x14ac:dyDescent="0.35">
      <c r="A75" s="830"/>
      <c r="C75" s="442" t="s">
        <v>618</v>
      </c>
      <c r="D75" s="442" t="s">
        <v>619</v>
      </c>
      <c r="E75" s="443" t="s">
        <v>617</v>
      </c>
      <c r="F75" s="443" t="s">
        <v>620</v>
      </c>
      <c r="G75" s="443" t="s">
        <v>601</v>
      </c>
      <c r="H75" s="443" t="s">
        <v>616</v>
      </c>
    </row>
    <row r="76" spans="1:15" x14ac:dyDescent="0.35">
      <c r="A76" s="830"/>
      <c r="C76" s="446" t="str">
        <f t="shared" ref="C76:H76" si="2">IF(C31&lt;&gt;"",C31,"")</f>
        <v/>
      </c>
      <c r="D76" s="440" t="str">
        <f t="shared" si="2"/>
        <v/>
      </c>
      <c r="E76" s="439" t="str">
        <f t="shared" si="2"/>
        <v/>
      </c>
      <c r="F76" s="439" t="str">
        <f t="shared" si="2"/>
        <v/>
      </c>
      <c r="G76" s="444" t="str">
        <f t="shared" si="2"/>
        <v/>
      </c>
      <c r="H76" s="441" t="str">
        <f t="shared" si="2"/>
        <v/>
      </c>
    </row>
    <row r="77" spans="1:15" x14ac:dyDescent="0.35">
      <c r="A77" s="830"/>
      <c r="C77" s="446" t="str">
        <f t="shared" ref="C77:H92" si="3">IF(C32&lt;&gt;"",C32,"")</f>
        <v/>
      </c>
      <c r="D77" s="440" t="str">
        <f t="shared" si="3"/>
        <v/>
      </c>
      <c r="E77" s="439" t="str">
        <f t="shared" si="3"/>
        <v/>
      </c>
      <c r="F77" s="439" t="str">
        <f t="shared" si="3"/>
        <v/>
      </c>
      <c r="G77" s="444" t="str">
        <f t="shared" si="3"/>
        <v/>
      </c>
      <c r="H77" s="441" t="str">
        <f t="shared" si="3"/>
        <v/>
      </c>
      <c r="K77" s="835" t="s">
        <v>626</v>
      </c>
      <c r="L77" s="879"/>
      <c r="M77" s="879"/>
      <c r="N77" s="879"/>
      <c r="O77" s="880"/>
    </row>
    <row r="78" spans="1:15" x14ac:dyDescent="0.35">
      <c r="A78" s="830"/>
      <c r="C78" s="446" t="str">
        <f t="shared" si="3"/>
        <v/>
      </c>
      <c r="D78" s="440" t="str">
        <f t="shared" si="3"/>
        <v/>
      </c>
      <c r="E78" s="439" t="str">
        <f t="shared" si="3"/>
        <v/>
      </c>
      <c r="F78" s="439" t="str">
        <f t="shared" si="3"/>
        <v/>
      </c>
      <c r="G78" s="444" t="str">
        <f t="shared" si="3"/>
        <v/>
      </c>
      <c r="H78" s="441" t="str">
        <f t="shared" si="3"/>
        <v/>
      </c>
      <c r="K78" s="881"/>
      <c r="L78" s="882"/>
      <c r="M78" s="882"/>
      <c r="N78" s="882"/>
      <c r="O78" s="883"/>
    </row>
    <row r="79" spans="1:15" x14ac:dyDescent="0.35">
      <c r="A79" s="830"/>
      <c r="C79" s="446" t="str">
        <f t="shared" si="3"/>
        <v/>
      </c>
      <c r="D79" s="440" t="str">
        <f t="shared" si="3"/>
        <v/>
      </c>
      <c r="E79" s="439" t="str">
        <f t="shared" si="3"/>
        <v/>
      </c>
      <c r="F79" s="439" t="str">
        <f t="shared" si="3"/>
        <v/>
      </c>
      <c r="G79" s="444" t="str">
        <f t="shared" si="3"/>
        <v/>
      </c>
      <c r="H79" s="441" t="str">
        <f t="shared" si="3"/>
        <v/>
      </c>
      <c r="K79" s="881"/>
      <c r="L79" s="882"/>
      <c r="M79" s="882"/>
      <c r="N79" s="882"/>
      <c r="O79" s="883"/>
    </row>
    <row r="80" spans="1:15" x14ac:dyDescent="0.35">
      <c r="A80" s="830"/>
      <c r="C80" s="446" t="str">
        <f t="shared" si="3"/>
        <v/>
      </c>
      <c r="D80" s="440" t="str">
        <f t="shared" si="3"/>
        <v/>
      </c>
      <c r="E80" s="439" t="str">
        <f t="shared" si="3"/>
        <v/>
      </c>
      <c r="F80" s="439" t="str">
        <f t="shared" si="3"/>
        <v/>
      </c>
      <c r="G80" s="444" t="str">
        <f t="shared" si="3"/>
        <v/>
      </c>
      <c r="H80" s="441" t="str">
        <f t="shared" si="3"/>
        <v/>
      </c>
      <c r="K80" s="881"/>
      <c r="L80" s="882"/>
      <c r="M80" s="882"/>
      <c r="N80" s="882"/>
      <c r="O80" s="883"/>
    </row>
    <row r="81" spans="1:15" x14ac:dyDescent="0.35">
      <c r="A81" s="830"/>
      <c r="C81" s="446" t="str">
        <f t="shared" si="3"/>
        <v/>
      </c>
      <c r="D81" s="440" t="str">
        <f t="shared" si="3"/>
        <v/>
      </c>
      <c r="E81" s="439" t="str">
        <f t="shared" si="3"/>
        <v/>
      </c>
      <c r="F81" s="439" t="str">
        <f t="shared" si="3"/>
        <v/>
      </c>
      <c r="G81" s="444" t="str">
        <f t="shared" si="3"/>
        <v/>
      </c>
      <c r="H81" s="441" t="str">
        <f t="shared" si="3"/>
        <v/>
      </c>
      <c r="K81" s="884"/>
      <c r="L81" s="885"/>
      <c r="M81" s="885"/>
      <c r="N81" s="885"/>
      <c r="O81" s="886"/>
    </row>
    <row r="82" spans="1:15" x14ac:dyDescent="0.35">
      <c r="A82" s="830"/>
      <c r="C82" s="446" t="str">
        <f t="shared" si="3"/>
        <v/>
      </c>
      <c r="D82" s="440" t="str">
        <f t="shared" si="3"/>
        <v/>
      </c>
      <c r="E82" s="439" t="str">
        <f t="shared" si="3"/>
        <v/>
      </c>
      <c r="F82" s="439" t="str">
        <f t="shared" si="3"/>
        <v/>
      </c>
      <c r="G82" s="444" t="str">
        <f t="shared" si="3"/>
        <v/>
      </c>
      <c r="H82" s="441" t="str">
        <f t="shared" si="3"/>
        <v/>
      </c>
    </row>
    <row r="83" spans="1:15" x14ac:dyDescent="0.35">
      <c r="A83" s="830"/>
      <c r="C83" s="446" t="str">
        <f t="shared" si="3"/>
        <v/>
      </c>
      <c r="D83" s="440" t="str">
        <f t="shared" si="3"/>
        <v/>
      </c>
      <c r="E83" s="439" t="str">
        <f t="shared" si="3"/>
        <v/>
      </c>
      <c r="F83" s="439" t="str">
        <f t="shared" si="3"/>
        <v/>
      </c>
      <c r="G83" s="444" t="str">
        <f t="shared" si="3"/>
        <v/>
      </c>
      <c r="H83" s="441" t="str">
        <f t="shared" si="3"/>
        <v/>
      </c>
    </row>
    <row r="84" spans="1:15" x14ac:dyDescent="0.35">
      <c r="A84" s="830"/>
      <c r="C84" s="446" t="str">
        <f t="shared" si="3"/>
        <v/>
      </c>
      <c r="D84" s="440" t="str">
        <f t="shared" si="3"/>
        <v/>
      </c>
      <c r="E84" s="439" t="str">
        <f t="shared" si="3"/>
        <v/>
      </c>
      <c r="F84" s="439" t="str">
        <f t="shared" si="3"/>
        <v/>
      </c>
      <c r="G84" s="444" t="str">
        <f t="shared" si="3"/>
        <v/>
      </c>
      <c r="H84" s="441" t="str">
        <f t="shared" si="3"/>
        <v/>
      </c>
    </row>
    <row r="85" spans="1:15" x14ac:dyDescent="0.35">
      <c r="A85" s="830"/>
      <c r="C85" s="446" t="str">
        <f t="shared" si="3"/>
        <v/>
      </c>
      <c r="D85" s="440" t="str">
        <f t="shared" si="3"/>
        <v/>
      </c>
      <c r="E85" s="439" t="str">
        <f t="shared" si="3"/>
        <v/>
      </c>
      <c r="F85" s="439" t="str">
        <f t="shared" si="3"/>
        <v/>
      </c>
      <c r="G85" s="444" t="str">
        <f t="shared" si="3"/>
        <v/>
      </c>
      <c r="H85" s="441" t="str">
        <f t="shared" si="3"/>
        <v/>
      </c>
    </row>
    <row r="86" spans="1:15" x14ac:dyDescent="0.35">
      <c r="A86" s="830"/>
      <c r="C86" s="446" t="str">
        <f t="shared" si="3"/>
        <v/>
      </c>
      <c r="D86" s="440" t="str">
        <f t="shared" si="3"/>
        <v/>
      </c>
      <c r="E86" s="439" t="str">
        <f t="shared" si="3"/>
        <v/>
      </c>
      <c r="F86" s="439" t="str">
        <f t="shared" si="3"/>
        <v/>
      </c>
      <c r="G86" s="444" t="str">
        <f t="shared" si="3"/>
        <v/>
      </c>
      <c r="H86" s="441" t="str">
        <f t="shared" si="3"/>
        <v/>
      </c>
    </row>
    <row r="87" spans="1:15" x14ac:dyDescent="0.35">
      <c r="A87" s="830"/>
      <c r="C87" s="446" t="str">
        <f t="shared" si="3"/>
        <v/>
      </c>
      <c r="D87" s="440" t="str">
        <f t="shared" si="3"/>
        <v/>
      </c>
      <c r="E87" s="439" t="str">
        <f t="shared" si="3"/>
        <v/>
      </c>
      <c r="F87" s="439" t="str">
        <f t="shared" si="3"/>
        <v/>
      </c>
      <c r="G87" s="444" t="str">
        <f t="shared" si="3"/>
        <v/>
      </c>
      <c r="H87" s="441" t="str">
        <f t="shared" si="3"/>
        <v/>
      </c>
    </row>
    <row r="88" spans="1:15" x14ac:dyDescent="0.35">
      <c r="A88" s="830"/>
      <c r="C88" s="446" t="str">
        <f t="shared" si="3"/>
        <v/>
      </c>
      <c r="D88" s="440" t="str">
        <f t="shared" si="3"/>
        <v/>
      </c>
      <c r="E88" s="439" t="str">
        <f t="shared" si="3"/>
        <v/>
      </c>
      <c r="F88" s="439" t="str">
        <f t="shared" si="3"/>
        <v/>
      </c>
      <c r="G88" s="444" t="str">
        <f t="shared" si="3"/>
        <v/>
      </c>
      <c r="H88" s="441" t="str">
        <f t="shared" si="3"/>
        <v/>
      </c>
    </row>
    <row r="89" spans="1:15" x14ac:dyDescent="0.35">
      <c r="A89" s="830"/>
      <c r="C89" s="446" t="str">
        <f t="shared" si="3"/>
        <v/>
      </c>
      <c r="D89" s="440" t="str">
        <f t="shared" si="3"/>
        <v/>
      </c>
      <c r="E89" s="439" t="str">
        <f t="shared" si="3"/>
        <v/>
      </c>
      <c r="F89" s="439" t="str">
        <f t="shared" si="3"/>
        <v/>
      </c>
      <c r="G89" s="444" t="str">
        <f t="shared" si="3"/>
        <v/>
      </c>
      <c r="H89" s="441" t="str">
        <f t="shared" si="3"/>
        <v/>
      </c>
    </row>
    <row r="90" spans="1:15" x14ac:dyDescent="0.35">
      <c r="A90" s="830"/>
      <c r="C90" s="446" t="str">
        <f t="shared" si="3"/>
        <v/>
      </c>
      <c r="D90" s="440" t="str">
        <f t="shared" si="3"/>
        <v/>
      </c>
      <c r="E90" s="439" t="str">
        <f t="shared" si="3"/>
        <v/>
      </c>
      <c r="F90" s="439" t="str">
        <f t="shared" si="3"/>
        <v/>
      </c>
      <c r="G90" s="444" t="str">
        <f t="shared" si="3"/>
        <v/>
      </c>
      <c r="H90" s="441" t="str">
        <f t="shared" si="3"/>
        <v/>
      </c>
    </row>
    <row r="91" spans="1:15" x14ac:dyDescent="0.35">
      <c r="A91" s="830"/>
      <c r="C91" s="446" t="str">
        <f t="shared" si="3"/>
        <v/>
      </c>
      <c r="D91" s="440" t="str">
        <f t="shared" si="3"/>
        <v/>
      </c>
      <c r="E91" s="439" t="str">
        <f t="shared" si="3"/>
        <v/>
      </c>
      <c r="F91" s="439" t="str">
        <f t="shared" si="3"/>
        <v/>
      </c>
      <c r="G91" s="444" t="str">
        <f t="shared" si="3"/>
        <v/>
      </c>
      <c r="H91" s="441" t="str">
        <f t="shared" si="3"/>
        <v/>
      </c>
    </row>
    <row r="92" spans="1:15" x14ac:dyDescent="0.35">
      <c r="A92" s="830"/>
      <c r="C92" s="446" t="str">
        <f t="shared" si="3"/>
        <v/>
      </c>
      <c r="D92" s="440" t="str">
        <f t="shared" si="3"/>
        <v/>
      </c>
      <c r="E92" s="439" t="str">
        <f t="shared" si="3"/>
        <v/>
      </c>
      <c r="F92" s="439" t="str">
        <f t="shared" si="3"/>
        <v/>
      </c>
      <c r="G92" s="444" t="str">
        <f t="shared" si="3"/>
        <v/>
      </c>
      <c r="H92" s="441" t="str">
        <f t="shared" si="3"/>
        <v/>
      </c>
    </row>
    <row r="93" spans="1:15" x14ac:dyDescent="0.35">
      <c r="A93" s="830"/>
      <c r="B93" s="3"/>
      <c r="C93" s="446" t="str">
        <f t="shared" ref="C93:H98" si="4">IF(C48&lt;&gt;"",C48,"")</f>
        <v/>
      </c>
      <c r="D93" s="440" t="str">
        <f t="shared" si="4"/>
        <v/>
      </c>
      <c r="E93" s="439" t="str">
        <f t="shared" si="4"/>
        <v/>
      </c>
      <c r="F93" s="439" t="str">
        <f t="shared" si="4"/>
        <v/>
      </c>
      <c r="G93" s="444" t="str">
        <f t="shared" si="4"/>
        <v/>
      </c>
      <c r="H93" s="441" t="str">
        <f t="shared" si="4"/>
        <v/>
      </c>
    </row>
    <row r="94" spans="1:15" x14ac:dyDescent="0.35">
      <c r="A94" s="830"/>
      <c r="C94" s="446" t="str">
        <f t="shared" si="4"/>
        <v/>
      </c>
      <c r="D94" s="440" t="str">
        <f t="shared" si="4"/>
        <v/>
      </c>
      <c r="E94" s="439" t="str">
        <f t="shared" si="4"/>
        <v/>
      </c>
      <c r="F94" s="439" t="str">
        <f t="shared" si="4"/>
        <v/>
      </c>
      <c r="G94" s="444" t="str">
        <f t="shared" si="4"/>
        <v/>
      </c>
      <c r="H94" s="441" t="str">
        <f t="shared" si="4"/>
        <v/>
      </c>
    </row>
    <row r="95" spans="1:15" x14ac:dyDescent="0.35">
      <c r="A95" s="830"/>
      <c r="C95" s="446" t="str">
        <f t="shared" si="4"/>
        <v/>
      </c>
      <c r="D95" s="440" t="str">
        <f t="shared" si="4"/>
        <v/>
      </c>
      <c r="E95" s="439" t="str">
        <f t="shared" si="4"/>
        <v/>
      </c>
      <c r="F95" s="439" t="str">
        <f t="shared" si="4"/>
        <v/>
      </c>
      <c r="G95" s="444" t="str">
        <f t="shared" si="4"/>
        <v/>
      </c>
      <c r="H95" s="441" t="str">
        <f t="shared" si="4"/>
        <v/>
      </c>
    </row>
    <row r="96" spans="1:15" x14ac:dyDescent="0.35">
      <c r="A96" s="830"/>
      <c r="C96" s="446" t="str">
        <f t="shared" si="4"/>
        <v/>
      </c>
      <c r="D96" s="440" t="str">
        <f t="shared" si="4"/>
        <v/>
      </c>
      <c r="E96" s="439" t="str">
        <f t="shared" si="4"/>
        <v/>
      </c>
      <c r="F96" s="439" t="str">
        <f t="shared" si="4"/>
        <v/>
      </c>
      <c r="G96" s="444" t="str">
        <f t="shared" si="4"/>
        <v/>
      </c>
      <c r="H96" s="441" t="str">
        <f t="shared" si="4"/>
        <v/>
      </c>
    </row>
    <row r="97" spans="1:9" x14ac:dyDescent="0.35">
      <c r="A97" s="830"/>
      <c r="C97" s="446" t="str">
        <f t="shared" si="4"/>
        <v/>
      </c>
      <c r="D97" s="440" t="str">
        <f t="shared" si="4"/>
        <v/>
      </c>
      <c r="E97" s="439" t="str">
        <f t="shared" si="4"/>
        <v/>
      </c>
      <c r="F97" s="439" t="str">
        <f t="shared" si="4"/>
        <v/>
      </c>
      <c r="G97" s="444" t="str">
        <f t="shared" si="4"/>
        <v/>
      </c>
      <c r="H97" s="441" t="str">
        <f t="shared" si="4"/>
        <v/>
      </c>
    </row>
    <row r="98" spans="1:9" x14ac:dyDescent="0.35">
      <c r="A98" s="830"/>
      <c r="C98" s="446" t="str">
        <f t="shared" si="4"/>
        <v/>
      </c>
      <c r="D98" s="440" t="str">
        <f t="shared" si="4"/>
        <v/>
      </c>
      <c r="E98" s="439" t="str">
        <f t="shared" si="4"/>
        <v/>
      </c>
      <c r="F98" s="439" t="str">
        <f t="shared" si="4"/>
        <v/>
      </c>
      <c r="G98" s="444" t="str">
        <f t="shared" si="4"/>
        <v/>
      </c>
      <c r="H98" s="441" t="str">
        <f t="shared" si="4"/>
        <v/>
      </c>
    </row>
    <row r="99" spans="1:9" x14ac:dyDescent="0.35">
      <c r="A99" s="830"/>
      <c r="C99" s="447"/>
      <c r="D99" s="447"/>
      <c r="E99" s="447"/>
      <c r="F99" s="447"/>
      <c r="G99" s="892" t="str">
        <f>IF(VSK&lt;&gt;0, SUM(H76:H98),"")</f>
        <v/>
      </c>
      <c r="H99" s="892"/>
    </row>
    <row r="100" spans="1:9" x14ac:dyDescent="0.35">
      <c r="A100" s="830"/>
    </row>
    <row r="101" spans="1:9" x14ac:dyDescent="0.35">
      <c r="A101" s="830"/>
      <c r="B101" s="3"/>
      <c r="C101" t="str">
        <f>IF(AND(ZuAbschlag&lt;&gt;0,VSK&lt;&gt;0),"Zu-/Abschlag:","")</f>
        <v/>
      </c>
      <c r="E101" s="15" t="str">
        <f>IF(AND(ZuAbschlag&lt;&gt;0,VSK&lt;&gt;0),ZuAbschlag,"")</f>
        <v/>
      </c>
      <c r="F101" s="481" t="str">
        <f>IF(AND(ZuAbschlag&lt;&gt;0,VSK&lt;&gt;0),G99*E101,"")</f>
        <v/>
      </c>
      <c r="G101" s="1" t="str">
        <f>IF(AND(ZuAbschlag&lt;&gt;0,VSK&lt;&gt;0,F56&lt;&gt;""),F56,"")</f>
        <v/>
      </c>
    </row>
    <row r="102" spans="1:9" ht="15.5" x14ac:dyDescent="0.35">
      <c r="A102" s="830"/>
      <c r="C102" t="str">
        <f>IF(AND(NK&lt;&gt;0,VSK&lt;&gt;0),"Nebenkosten:","")</f>
        <v/>
      </c>
      <c r="F102" s="481" t="str">
        <f>IF(AND(NK&lt;&gt;0,VSK&lt;&gt;0),NK,"")</f>
        <v/>
      </c>
      <c r="G102" s="1" t="str">
        <f>IF(AND(NK&lt;&gt;0,VSK&lt;&gt;0,F57&lt;&gt;""),F57,"")</f>
        <v/>
      </c>
      <c r="I102" s="16"/>
    </row>
    <row r="103" spans="1:9" x14ac:dyDescent="0.35">
      <c r="A103" s="830"/>
    </row>
    <row r="104" spans="1:9" ht="15.5" x14ac:dyDescent="0.35">
      <c r="A104" s="830"/>
      <c r="C104" s="16" t="s">
        <v>65</v>
      </c>
      <c r="D104" s="16"/>
      <c r="E104" s="16"/>
      <c r="F104" s="16"/>
      <c r="G104" s="893">
        <f>IF(VSK&gt;0,SUM(F102,F101,G99),0)</f>
        <v>0</v>
      </c>
      <c r="H104" s="894"/>
    </row>
    <row r="105" spans="1:9" x14ac:dyDescent="0.35">
      <c r="A105" s="830"/>
    </row>
  </sheetData>
  <mergeCells count="16">
    <mergeCell ref="K77:O81"/>
    <mergeCell ref="G99:H99"/>
    <mergeCell ref="G104:H104"/>
    <mergeCell ref="F56:H56"/>
    <mergeCell ref="F57:H57"/>
    <mergeCell ref="G59:H59"/>
    <mergeCell ref="A1:A61"/>
    <mergeCell ref="C2:H2"/>
    <mergeCell ref="C4:H5"/>
    <mergeCell ref="A62:A105"/>
    <mergeCell ref="B62:I62"/>
    <mergeCell ref="B63:I63"/>
    <mergeCell ref="B64:I64"/>
    <mergeCell ref="B65:I65"/>
    <mergeCell ref="B67:I67"/>
    <mergeCell ref="C73:H73"/>
  </mergeCells>
  <dataValidations disablePrompts="1" count="4">
    <dataValidation type="decimal" operator="greaterThan" allowBlank="1" showInputMessage="1" showErrorMessage="1" sqref="F31:F53" xr:uid="{00000000-0002-0000-1A00-000000000000}">
      <formula1>-99999</formula1>
    </dataValidation>
    <dataValidation type="list" showInputMessage="1" showErrorMessage="1" sqref="E31:E53" xr:uid="{00000000-0002-0000-1A00-000001000000}">
      <formula1>$G$8:$G$22</formula1>
    </dataValidation>
    <dataValidation type="decimal" operator="greaterThan" allowBlank="1" showInputMessage="1" showErrorMessage="1" sqref="E57" xr:uid="{00000000-0002-0000-1A00-000002000000}">
      <formula1>-1000000</formula1>
    </dataValidation>
    <dataValidation type="decimal" operator="greaterThan" showInputMessage="1" showErrorMessage="1" sqref="E56" xr:uid="{00000000-0002-0000-1A00-000003000000}">
      <formula1>-1000</formula1>
    </dataValidation>
  </dataValidations>
  <pageMargins left="0.70866141732283472" right="0.39370078740157483" top="0.59055118110236227" bottom="0.59055118110236227" header="0.31496062992125984" footer="0.31496062992125984"/>
  <pageSetup paperSize="9" orientation="portrait" r:id="rId1"/>
  <headerFooter>
    <oddFooter>&amp;L&amp;9&amp;F, &amp;A&amp;R&amp;9&amp;D</oddFooter>
  </headerFooter>
  <legacyDrawingHF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Tabelle33"/>
  <dimension ref="A1:U105"/>
  <sheetViews>
    <sheetView zoomScaleNormal="100" workbookViewId="0">
      <selection activeCell="C4" sqref="C4:H5"/>
    </sheetView>
  </sheetViews>
  <sheetFormatPr baseColWidth="10" defaultColWidth="11.453125" defaultRowHeight="14.5" x14ac:dyDescent="0.35"/>
  <cols>
    <col min="1" max="1" width="4" customWidth="1"/>
    <col min="2" max="2" width="4.7265625" customWidth="1"/>
    <col min="3" max="3" width="5.7265625" customWidth="1"/>
    <col min="4" max="4" width="35.7265625" customWidth="1"/>
    <col min="5" max="7" width="8.453125" customWidth="1"/>
    <col min="8" max="8" width="11.453125" customWidth="1"/>
    <col min="9" max="9" width="4.26953125" customWidth="1"/>
  </cols>
  <sheetData>
    <row r="1" spans="1:21" ht="15.75" customHeight="1" x14ac:dyDescent="0.35">
      <c r="A1" s="833" t="s">
        <v>35</v>
      </c>
      <c r="B1" s="45"/>
      <c r="C1" s="45"/>
      <c r="D1" s="45"/>
      <c r="E1" s="45"/>
      <c r="F1" s="45"/>
      <c r="G1" s="45"/>
      <c r="H1" s="45"/>
      <c r="I1" s="45"/>
      <c r="K1" s="93" t="s">
        <v>699</v>
      </c>
      <c r="L1" s="93"/>
      <c r="M1" s="93"/>
      <c r="N1" s="94">
        <f ca="1">CELL("ZEILE",B67)</f>
        <v>67</v>
      </c>
    </row>
    <row r="2" spans="1:21" ht="23.5" x14ac:dyDescent="0.35">
      <c r="A2" s="833"/>
      <c r="B2" s="46"/>
      <c r="C2" s="864" t="s">
        <v>1152</v>
      </c>
      <c r="D2" s="865"/>
      <c r="E2" s="865"/>
      <c r="F2" s="865"/>
      <c r="G2" s="865"/>
      <c r="H2" s="866"/>
      <c r="I2" s="45"/>
      <c r="K2" s="175" t="s">
        <v>700</v>
      </c>
      <c r="L2" s="155"/>
      <c r="M2" s="155"/>
      <c r="N2" s="175">
        <f ca="1">CELL("ZEILE",G104)</f>
        <v>104</v>
      </c>
    </row>
    <row r="3" spans="1:21" ht="15.5" x14ac:dyDescent="0.35">
      <c r="A3" s="833"/>
      <c r="B3" s="330"/>
      <c r="C3" s="330"/>
      <c r="D3" s="330"/>
      <c r="E3" s="330"/>
      <c r="F3" s="330"/>
      <c r="G3" s="330"/>
      <c r="H3" s="330"/>
      <c r="I3" s="330"/>
      <c r="K3" s="175" t="s">
        <v>701</v>
      </c>
      <c r="L3" s="155"/>
      <c r="M3" s="155"/>
      <c r="N3" s="175">
        <f>E59</f>
        <v>0</v>
      </c>
    </row>
    <row r="4" spans="1:21" ht="7.5" customHeight="1" x14ac:dyDescent="0.35">
      <c r="A4" s="833"/>
      <c r="B4" s="330"/>
      <c r="C4" s="988" t="s">
        <v>939</v>
      </c>
      <c r="D4" s="989"/>
      <c r="E4" s="989"/>
      <c r="F4" s="989"/>
      <c r="G4" s="989"/>
      <c r="H4" s="990"/>
      <c r="I4" s="330"/>
      <c r="K4" s="175"/>
      <c r="L4" s="155"/>
      <c r="M4" s="155"/>
      <c r="N4" s="175"/>
    </row>
    <row r="5" spans="1:21" ht="63.75" customHeight="1" x14ac:dyDescent="0.35">
      <c r="A5" s="833"/>
      <c r="B5" s="330"/>
      <c r="C5" s="991"/>
      <c r="D5" s="992"/>
      <c r="E5" s="992"/>
      <c r="F5" s="992"/>
      <c r="G5" s="992"/>
      <c r="H5" s="993"/>
      <c r="I5" s="330"/>
      <c r="K5" s="175"/>
      <c r="L5" s="155"/>
      <c r="M5" s="155"/>
      <c r="N5" s="175"/>
    </row>
    <row r="6" spans="1:21" ht="7.5" customHeight="1" x14ac:dyDescent="0.35">
      <c r="A6" s="833"/>
      <c r="B6" s="330"/>
      <c r="C6" s="330"/>
      <c r="D6" s="330"/>
      <c r="E6" s="330"/>
      <c r="F6" s="330"/>
      <c r="G6" s="330"/>
      <c r="H6" s="330"/>
      <c r="I6" s="330"/>
      <c r="K6" s="175"/>
      <c r="L6" s="155"/>
      <c r="M6" s="155"/>
      <c r="N6" s="175"/>
    </row>
    <row r="7" spans="1:21" ht="16.5" customHeight="1" thickBot="1" x14ac:dyDescent="0.4">
      <c r="A7" s="833"/>
      <c r="B7" s="330"/>
      <c r="C7" s="330"/>
      <c r="D7" s="330" t="s">
        <v>600</v>
      </c>
      <c r="E7" s="330"/>
      <c r="F7" s="330"/>
      <c r="G7" s="343" t="s">
        <v>599</v>
      </c>
      <c r="H7" s="343" t="s">
        <v>601</v>
      </c>
      <c r="I7" s="330"/>
      <c r="K7" s="175"/>
      <c r="L7" s="155"/>
      <c r="M7" s="155"/>
      <c r="N7" s="175"/>
    </row>
    <row r="8" spans="1:21" ht="15" thickBot="1" x14ac:dyDescent="0.4">
      <c r="A8" s="833"/>
      <c r="B8" s="242"/>
      <c r="C8" s="546" t="s">
        <v>602</v>
      </c>
      <c r="D8" s="547"/>
      <c r="E8" s="547"/>
      <c r="F8" s="548"/>
      <c r="G8" s="429" t="s">
        <v>604</v>
      </c>
      <c r="H8" s="431">
        <f>ROUND(IS*0.5,2)</f>
        <v>0</v>
      </c>
      <c r="I8" s="432"/>
    </row>
    <row r="9" spans="1:21" s="234" customFormat="1" ht="15" customHeight="1" thickBot="1" x14ac:dyDescent="0.35">
      <c r="A9" s="833"/>
      <c r="B9" s="242"/>
      <c r="C9" s="546" t="s">
        <v>603</v>
      </c>
      <c r="D9" s="547"/>
      <c r="E9" s="547"/>
      <c r="F9" s="548"/>
      <c r="G9" s="429" t="s">
        <v>627</v>
      </c>
      <c r="H9" s="431">
        <f>ROUND(IS*0.65,2)</f>
        <v>0</v>
      </c>
      <c r="I9" s="432"/>
    </row>
    <row r="10" spans="1:21" s="234" customFormat="1" ht="15" customHeight="1" thickBot="1" x14ac:dyDescent="0.35">
      <c r="A10" s="833"/>
      <c r="B10" s="242"/>
      <c r="C10" s="546" t="s">
        <v>605</v>
      </c>
      <c r="D10" s="547"/>
      <c r="E10" s="547"/>
      <c r="F10" s="548"/>
      <c r="G10" s="429" t="s">
        <v>606</v>
      </c>
      <c r="H10" s="431">
        <f>ROUND(IS*0.8,2)</f>
        <v>0</v>
      </c>
      <c r="I10" s="432"/>
      <c r="K10" s="433"/>
      <c r="M10" s="434"/>
    </row>
    <row r="11" spans="1:21" s="234" customFormat="1" ht="15" customHeight="1" thickBot="1" x14ac:dyDescent="0.35">
      <c r="A11" s="833"/>
      <c r="B11" s="242"/>
      <c r="C11" s="546" t="s">
        <v>1113</v>
      </c>
      <c r="D11" s="547"/>
      <c r="E11" s="547"/>
      <c r="F11" s="548"/>
      <c r="G11" s="429" t="s">
        <v>1116</v>
      </c>
      <c r="H11" s="431">
        <f>ROUND(H10*0.667,2)</f>
        <v>0</v>
      </c>
      <c r="I11" s="432"/>
      <c r="K11" s="433"/>
      <c r="M11" s="434"/>
      <c r="P11" s="433"/>
      <c r="Q11" s="433"/>
      <c r="R11" s="433"/>
      <c r="S11" s="433"/>
      <c r="T11" s="433"/>
      <c r="U11" s="433"/>
    </row>
    <row r="12" spans="1:21" s="234" customFormat="1" ht="15" customHeight="1" thickBot="1" x14ac:dyDescent="0.35">
      <c r="A12" s="833"/>
      <c r="B12" s="336"/>
      <c r="C12" s="546" t="s">
        <v>612</v>
      </c>
      <c r="D12" s="547"/>
      <c r="E12" s="547"/>
      <c r="F12" s="548"/>
      <c r="G12" s="429" t="s">
        <v>613</v>
      </c>
      <c r="H12" s="431">
        <f>ROUND(IS*0.8+0.15*IS,2)</f>
        <v>0</v>
      </c>
      <c r="I12" s="336"/>
      <c r="K12" s="433"/>
      <c r="M12" s="434"/>
      <c r="P12" s="433"/>
      <c r="Q12" s="433"/>
      <c r="R12" s="433"/>
      <c r="S12" s="433"/>
      <c r="T12" s="433"/>
      <c r="U12" s="433"/>
    </row>
    <row r="13" spans="1:21" s="234" customFormat="1" ht="15" customHeight="1" thickBot="1" x14ac:dyDescent="0.35">
      <c r="A13" s="833"/>
      <c r="B13" s="336"/>
      <c r="C13" s="546" t="s">
        <v>607</v>
      </c>
      <c r="D13" s="547"/>
      <c r="E13" s="547"/>
      <c r="F13" s="548"/>
      <c r="G13" s="429" t="s">
        <v>608</v>
      </c>
      <c r="H13" s="431">
        <f>ROUND(IS*1,2)</f>
        <v>0</v>
      </c>
      <c r="I13" s="336"/>
      <c r="K13" s="433"/>
      <c r="M13" s="434"/>
      <c r="P13" s="433"/>
      <c r="Q13" s="433"/>
      <c r="R13" s="433"/>
      <c r="S13" s="433"/>
      <c r="T13" s="433"/>
      <c r="U13" s="433"/>
    </row>
    <row r="14" spans="1:21" s="234" customFormat="1" ht="15" customHeight="1" thickBot="1" x14ac:dyDescent="0.35">
      <c r="A14" s="833"/>
      <c r="B14" s="336"/>
      <c r="C14" s="546" t="s">
        <v>1114</v>
      </c>
      <c r="D14" s="547"/>
      <c r="E14" s="547"/>
      <c r="F14" s="548"/>
      <c r="G14" s="429" t="s">
        <v>1115</v>
      </c>
      <c r="H14" s="431">
        <f>ROUND(H13*0.667,2)</f>
        <v>0</v>
      </c>
      <c r="I14" s="336"/>
      <c r="K14" s="433"/>
      <c r="M14" s="434"/>
      <c r="P14" s="433"/>
      <c r="Q14" s="433"/>
      <c r="R14" s="433"/>
      <c r="S14" s="433"/>
      <c r="T14" s="433"/>
      <c r="U14" s="433"/>
    </row>
    <row r="15" spans="1:21" s="234" customFormat="1" ht="15" customHeight="1" thickBot="1" x14ac:dyDescent="0.35">
      <c r="A15" s="833"/>
      <c r="B15" s="336"/>
      <c r="C15" s="546" t="s">
        <v>946</v>
      </c>
      <c r="D15" s="547"/>
      <c r="E15" s="547"/>
      <c r="F15" s="548"/>
      <c r="G15" s="429" t="s">
        <v>947</v>
      </c>
      <c r="H15" s="431">
        <f>ROUND(IS*1.15,2)</f>
        <v>0</v>
      </c>
      <c r="I15" s="336"/>
      <c r="K15" s="433"/>
      <c r="L15" s="433"/>
      <c r="M15" s="435"/>
      <c r="N15" s="433"/>
      <c r="O15" s="433"/>
      <c r="P15" s="433"/>
      <c r="Q15" s="433"/>
      <c r="R15" s="433"/>
      <c r="S15" s="433"/>
      <c r="T15" s="433"/>
      <c r="U15" s="433"/>
    </row>
    <row r="16" spans="1:21" s="234" customFormat="1" ht="15" customHeight="1" thickBot="1" x14ac:dyDescent="0.35">
      <c r="A16" s="833"/>
      <c r="B16" s="336"/>
      <c r="C16" s="546" t="s">
        <v>609</v>
      </c>
      <c r="D16" s="547"/>
      <c r="E16" s="547"/>
      <c r="F16" s="548"/>
      <c r="G16" s="429" t="s">
        <v>835</v>
      </c>
      <c r="H16" s="431">
        <f>ROUND(IS*1.25,2)</f>
        <v>0</v>
      </c>
      <c r="I16" s="336"/>
      <c r="P16" s="433"/>
      <c r="Q16" s="433"/>
      <c r="R16" s="433"/>
      <c r="S16" s="433"/>
      <c r="T16" s="433"/>
      <c r="U16" s="433"/>
    </row>
    <row r="17" spans="1:21" s="234" customFormat="1" ht="15" customHeight="1" thickBot="1" x14ac:dyDescent="0.35">
      <c r="A17" s="833"/>
      <c r="B17" s="336"/>
      <c r="C17" s="546" t="s">
        <v>1109</v>
      </c>
      <c r="D17" s="547"/>
      <c r="E17" s="547"/>
      <c r="F17" s="548"/>
      <c r="G17" s="429" t="s">
        <v>833</v>
      </c>
      <c r="H17" s="431">
        <f>ROUND(IS*1+H23+H24,2)</f>
        <v>0</v>
      </c>
      <c r="I17" s="336"/>
      <c r="K17" s="433"/>
      <c r="L17" s="433"/>
      <c r="M17" s="436"/>
      <c r="N17" s="433"/>
      <c r="O17" s="433"/>
      <c r="P17" s="433"/>
      <c r="Q17" s="433"/>
      <c r="R17" s="433"/>
      <c r="S17" s="433"/>
      <c r="T17" s="433"/>
      <c r="U17" s="433"/>
    </row>
    <row r="18" spans="1:21" s="234" customFormat="1" ht="15" customHeight="1" thickBot="1" x14ac:dyDescent="0.35">
      <c r="A18" s="833"/>
      <c r="B18" s="336"/>
      <c r="C18" s="546" t="s">
        <v>1110</v>
      </c>
      <c r="D18" s="547"/>
      <c r="E18" s="547"/>
      <c r="F18" s="548"/>
      <c r="G18" s="429" t="s">
        <v>834</v>
      </c>
      <c r="H18" s="431">
        <f>ROUND(IS*1.6+H23,2)</f>
        <v>0</v>
      </c>
      <c r="I18" s="336"/>
      <c r="K18" s="433"/>
      <c r="L18" s="433"/>
      <c r="M18" s="436"/>
      <c r="N18" s="433"/>
      <c r="O18" s="433"/>
      <c r="P18" s="433"/>
      <c r="Q18" s="433"/>
      <c r="R18" s="433"/>
      <c r="S18" s="433"/>
      <c r="T18" s="433"/>
      <c r="U18" s="433"/>
    </row>
    <row r="19" spans="1:21" s="234" customFormat="1" ht="15" customHeight="1" thickBot="1" x14ac:dyDescent="0.35">
      <c r="A19" s="833"/>
      <c r="B19" s="336"/>
      <c r="C19" s="546" t="s">
        <v>1111</v>
      </c>
      <c r="D19" s="547"/>
      <c r="E19" s="547"/>
      <c r="F19" s="548"/>
      <c r="G19" s="429" t="s">
        <v>1117</v>
      </c>
      <c r="H19" s="431">
        <f>ROUND(IS*1*0.667,2)</f>
        <v>0</v>
      </c>
      <c r="I19" s="336"/>
      <c r="K19" s="433"/>
      <c r="L19" s="433"/>
      <c r="M19" s="436"/>
      <c r="N19" s="433"/>
      <c r="O19" s="433"/>
      <c r="P19" s="433"/>
      <c r="Q19" s="433"/>
      <c r="R19" s="433"/>
      <c r="S19" s="433"/>
      <c r="T19" s="433"/>
      <c r="U19" s="433"/>
    </row>
    <row r="20" spans="1:21" s="234" customFormat="1" ht="15" customHeight="1" thickBot="1" x14ac:dyDescent="0.35">
      <c r="A20" s="833"/>
      <c r="B20" s="336"/>
      <c r="C20" s="546" t="s">
        <v>1112</v>
      </c>
      <c r="D20" s="547"/>
      <c r="E20" s="547"/>
      <c r="F20" s="548"/>
      <c r="G20" s="429" t="s">
        <v>1118</v>
      </c>
      <c r="H20" s="431">
        <f>ROUND(IS*1.6*0.667,2)</f>
        <v>0</v>
      </c>
      <c r="I20" s="336"/>
      <c r="K20" s="433"/>
      <c r="L20" s="433"/>
      <c r="M20" s="436"/>
      <c r="N20" s="433"/>
      <c r="O20" s="433"/>
      <c r="P20" s="433"/>
      <c r="Q20" s="433"/>
      <c r="R20" s="433"/>
      <c r="S20" s="433"/>
      <c r="T20" s="433"/>
      <c r="U20" s="433"/>
    </row>
    <row r="21" spans="1:21" s="234" customFormat="1" ht="15" customHeight="1" thickBot="1" x14ac:dyDescent="0.35">
      <c r="A21" s="833"/>
      <c r="B21" s="336"/>
      <c r="C21" s="546" t="s">
        <v>1107</v>
      </c>
      <c r="D21" s="547"/>
      <c r="E21" s="547"/>
      <c r="F21" s="548"/>
      <c r="G21" s="429" t="s">
        <v>1119</v>
      </c>
      <c r="H21" s="431">
        <f>ROUND(IS*1+H23+20*H26,2)</f>
        <v>13</v>
      </c>
      <c r="I21" s="336"/>
      <c r="K21" s="433"/>
      <c r="L21" s="433"/>
      <c r="M21" s="436"/>
      <c r="N21" s="433"/>
      <c r="O21" s="433"/>
      <c r="P21" s="433"/>
      <c r="Q21" s="433"/>
      <c r="R21" s="433"/>
      <c r="S21" s="433"/>
      <c r="T21" s="433"/>
      <c r="U21" s="433"/>
    </row>
    <row r="22" spans="1:21" s="234" customFormat="1" ht="15" customHeight="1" thickBot="1" x14ac:dyDescent="0.35">
      <c r="A22" s="833"/>
      <c r="B22" s="336"/>
      <c r="C22" s="546" t="s">
        <v>1108</v>
      </c>
      <c r="D22" s="547"/>
      <c r="E22" s="547"/>
      <c r="F22" s="548"/>
      <c r="G22" s="429" t="s">
        <v>1120</v>
      </c>
      <c r="H22" s="431">
        <f>ROUND(IS*1.6+H23+20*H26,2)</f>
        <v>13</v>
      </c>
      <c r="I22" s="336"/>
      <c r="K22" s="433"/>
      <c r="L22" s="433"/>
      <c r="M22" s="436"/>
      <c r="N22" s="433"/>
      <c r="O22" s="433"/>
      <c r="P22" s="433"/>
      <c r="Q22" s="433"/>
      <c r="R22" s="433"/>
      <c r="S22" s="433"/>
      <c r="T22" s="433"/>
      <c r="U22" s="433"/>
    </row>
    <row r="23" spans="1:21" s="234" customFormat="1" ht="15" customHeight="1" thickBot="1" x14ac:dyDescent="0.35">
      <c r="A23" s="833"/>
      <c r="B23" s="336"/>
      <c r="C23" s="546" t="s">
        <v>831</v>
      </c>
      <c r="D23" s="547"/>
      <c r="E23" s="547"/>
      <c r="F23" s="548"/>
      <c r="G23" s="429" t="s">
        <v>830</v>
      </c>
      <c r="H23" s="431">
        <f>ROUND(0.15*IS,2)</f>
        <v>0</v>
      </c>
      <c r="I23" s="336"/>
      <c r="K23" s="433"/>
      <c r="L23" s="433"/>
      <c r="M23" s="436"/>
      <c r="N23" s="433"/>
      <c r="O23" s="433"/>
      <c r="P23" s="433"/>
      <c r="Q23" s="433"/>
      <c r="R23" s="433"/>
      <c r="S23" s="433"/>
      <c r="T23" s="433"/>
      <c r="U23" s="433"/>
    </row>
    <row r="24" spans="1:21" s="234" customFormat="1" ht="15" customHeight="1" thickBot="1" x14ac:dyDescent="0.35">
      <c r="A24" s="833"/>
      <c r="B24" s="336"/>
      <c r="C24" s="546" t="s">
        <v>829</v>
      </c>
      <c r="D24" s="547"/>
      <c r="E24" s="547"/>
      <c r="F24" s="548"/>
      <c r="G24" s="429" t="s">
        <v>832</v>
      </c>
      <c r="H24" s="431">
        <f>ROUND(0.05*IS,2)</f>
        <v>0</v>
      </c>
      <c r="I24" s="336"/>
      <c r="K24" s="433"/>
      <c r="L24" s="433"/>
      <c r="M24" s="436"/>
      <c r="N24" s="433"/>
      <c r="O24" s="433"/>
      <c r="P24" s="433"/>
      <c r="Q24" s="433"/>
      <c r="R24" s="433"/>
      <c r="S24" s="433"/>
      <c r="T24" s="433"/>
      <c r="U24" s="433"/>
    </row>
    <row r="25" spans="1:21" s="234" customFormat="1" ht="15" customHeight="1" thickBot="1" x14ac:dyDescent="0.35">
      <c r="A25" s="833"/>
      <c r="B25" s="336"/>
      <c r="C25" s="546" t="s">
        <v>942</v>
      </c>
      <c r="D25" s="547"/>
      <c r="E25" s="547"/>
      <c r="F25" s="548"/>
      <c r="G25" s="429" t="s">
        <v>943</v>
      </c>
      <c r="H25" s="431">
        <v>0.5</v>
      </c>
      <c r="I25" s="336"/>
      <c r="K25" s="433"/>
      <c r="L25" s="433"/>
      <c r="M25" s="436"/>
      <c r="N25" s="433"/>
      <c r="O25" s="433"/>
      <c r="P25" s="433"/>
      <c r="Q25" s="433"/>
      <c r="R25" s="433"/>
      <c r="S25" s="433"/>
      <c r="T25" s="433"/>
      <c r="U25" s="433"/>
    </row>
    <row r="26" spans="1:21" s="234" customFormat="1" ht="15" customHeight="1" thickBot="1" x14ac:dyDescent="0.35">
      <c r="A26" s="833"/>
      <c r="B26" s="336"/>
      <c r="C26" s="546" t="s">
        <v>1155</v>
      </c>
      <c r="D26" s="547"/>
      <c r="E26" s="547"/>
      <c r="F26" s="548"/>
      <c r="G26" s="429" t="s">
        <v>944</v>
      </c>
      <c r="H26" s="431">
        <v>0.65</v>
      </c>
      <c r="I26" s="336"/>
      <c r="K26" s="433"/>
      <c r="L26" s="433"/>
      <c r="M26" s="436"/>
      <c r="N26" s="433"/>
      <c r="O26" s="433"/>
      <c r="P26" s="433"/>
      <c r="Q26" s="433"/>
      <c r="R26" s="433"/>
      <c r="S26" s="433"/>
      <c r="T26" s="433"/>
      <c r="U26" s="433"/>
    </row>
    <row r="27" spans="1:21" s="234" customFormat="1" ht="15" customHeight="1" thickBot="1" x14ac:dyDescent="0.35">
      <c r="A27" s="833"/>
      <c r="B27" s="336"/>
      <c r="C27" s="546" t="s">
        <v>941</v>
      </c>
      <c r="D27" s="547"/>
      <c r="E27" s="547"/>
      <c r="F27" s="548"/>
      <c r="G27" s="429" t="s">
        <v>945</v>
      </c>
      <c r="H27" s="431">
        <v>1</v>
      </c>
      <c r="I27" s="336"/>
      <c r="K27" s="433"/>
      <c r="L27" s="433"/>
      <c r="M27" s="436"/>
      <c r="N27" s="433"/>
      <c r="O27" s="433"/>
      <c r="P27" s="433"/>
      <c r="Q27" s="433"/>
      <c r="R27" s="433"/>
      <c r="S27" s="433"/>
      <c r="T27" s="433"/>
      <c r="U27" s="433"/>
    </row>
    <row r="28" spans="1:21" s="234" customFormat="1" ht="15" customHeight="1" x14ac:dyDescent="0.3">
      <c r="A28" s="833"/>
      <c r="B28" s="336"/>
      <c r="C28" s="336"/>
      <c r="D28" s="336"/>
      <c r="E28" s="336"/>
      <c r="F28" s="336"/>
      <c r="G28" s="336"/>
      <c r="H28" s="336"/>
      <c r="I28" s="336"/>
      <c r="K28" s="433"/>
      <c r="L28" s="433"/>
      <c r="M28" s="436"/>
      <c r="N28" s="433"/>
      <c r="O28" s="433"/>
      <c r="P28" s="433"/>
      <c r="Q28" s="433"/>
      <c r="R28" s="433"/>
      <c r="S28" s="433"/>
      <c r="T28" s="433"/>
      <c r="U28" s="433"/>
    </row>
    <row r="29" spans="1:21" s="234" customFormat="1" ht="15" customHeight="1" x14ac:dyDescent="0.3">
      <c r="A29" s="833"/>
      <c r="B29" s="336"/>
      <c r="C29" s="336"/>
      <c r="D29" s="336"/>
      <c r="E29" s="336"/>
      <c r="F29" s="336"/>
      <c r="G29" s="336"/>
      <c r="H29" s="336"/>
      <c r="I29" s="336"/>
      <c r="K29" s="433"/>
      <c r="L29" s="433"/>
      <c r="M29" s="436"/>
      <c r="N29" s="433"/>
      <c r="O29" s="433"/>
      <c r="P29" s="433"/>
      <c r="Q29" s="433"/>
      <c r="R29" s="433"/>
      <c r="S29" s="433"/>
      <c r="T29" s="433"/>
      <c r="U29" s="433"/>
    </row>
    <row r="30" spans="1:21" s="234" customFormat="1" ht="15" customHeight="1" thickBot="1" x14ac:dyDescent="0.35">
      <c r="A30" s="833"/>
      <c r="B30" s="336"/>
      <c r="C30" s="336" t="s">
        <v>618</v>
      </c>
      <c r="D30" s="336" t="s">
        <v>619</v>
      </c>
      <c r="E30" s="437" t="s">
        <v>617</v>
      </c>
      <c r="F30" s="437" t="s">
        <v>620</v>
      </c>
      <c r="G30" s="437" t="s">
        <v>601</v>
      </c>
      <c r="H30" s="437" t="s">
        <v>616</v>
      </c>
      <c r="I30" s="336"/>
      <c r="K30" s="433"/>
      <c r="L30" s="433"/>
      <c r="M30" s="436"/>
      <c r="N30" s="433"/>
      <c r="O30" s="433"/>
      <c r="P30" s="433"/>
      <c r="Q30" s="433"/>
      <c r="R30" s="433"/>
      <c r="S30" s="433"/>
      <c r="T30" s="433"/>
      <c r="U30" s="433"/>
    </row>
    <row r="31" spans="1:21" s="234" customFormat="1" ht="15" customHeight="1" thickBot="1" x14ac:dyDescent="0.35">
      <c r="A31" s="833"/>
      <c r="B31" s="63"/>
      <c r="C31" s="445"/>
      <c r="D31" s="449"/>
      <c r="E31" s="430"/>
      <c r="F31" s="430"/>
      <c r="G31" s="448" t="str">
        <f t="shared" ref="G31:G53" si="0">IF(E31&lt;&gt;"",VLOOKUP(E31,G$8:H$27,2,FALSE),"")</f>
        <v/>
      </c>
      <c r="H31" s="448" t="str">
        <f t="shared" ref="H31:H53" si="1">IF(AND(E31&lt;&gt;"",F31&lt;&gt;"",F31&gt;0),F31*G31,"")</f>
        <v/>
      </c>
      <c r="I31" s="64"/>
      <c r="K31" s="433"/>
      <c r="L31" s="433"/>
      <c r="M31" s="436"/>
      <c r="N31" s="433"/>
      <c r="O31" s="433"/>
      <c r="P31" s="433"/>
    </row>
    <row r="32" spans="1:21" ht="16" thickBot="1" x14ac:dyDescent="0.4">
      <c r="A32" s="833"/>
      <c r="B32" s="330"/>
      <c r="C32" s="445"/>
      <c r="D32" s="449"/>
      <c r="E32" s="430"/>
      <c r="F32" s="430"/>
      <c r="G32" s="448" t="str">
        <f t="shared" si="0"/>
        <v/>
      </c>
      <c r="H32" s="448" t="str">
        <f t="shared" si="1"/>
        <v/>
      </c>
      <c r="I32" s="330"/>
      <c r="K32" s="254"/>
      <c r="L32" s="254"/>
      <c r="M32" s="332"/>
      <c r="N32" s="254"/>
      <c r="O32" s="254"/>
      <c r="P32" s="254"/>
    </row>
    <row r="33" spans="1:16" ht="16" thickBot="1" x14ac:dyDescent="0.4">
      <c r="A33" s="833"/>
      <c r="B33" s="330"/>
      <c r="C33" s="445"/>
      <c r="D33" s="449"/>
      <c r="E33" s="430"/>
      <c r="F33" s="430"/>
      <c r="G33" s="448" t="str">
        <f t="shared" si="0"/>
        <v/>
      </c>
      <c r="H33" s="448" t="str">
        <f t="shared" si="1"/>
        <v/>
      </c>
      <c r="I33" s="330"/>
      <c r="K33" s="254"/>
      <c r="L33" s="254"/>
      <c r="M33" s="332"/>
      <c r="N33" s="254"/>
      <c r="O33" s="254"/>
      <c r="P33" s="254"/>
    </row>
    <row r="34" spans="1:16" ht="16" thickBot="1" x14ac:dyDescent="0.4">
      <c r="A34" s="833"/>
      <c r="B34" s="330"/>
      <c r="C34" s="445"/>
      <c r="D34" s="449"/>
      <c r="E34" s="430"/>
      <c r="F34" s="430"/>
      <c r="G34" s="448" t="str">
        <f t="shared" si="0"/>
        <v/>
      </c>
      <c r="H34" s="448" t="str">
        <f t="shared" si="1"/>
        <v/>
      </c>
      <c r="I34" s="330"/>
      <c r="K34" s="254"/>
      <c r="L34" s="254"/>
      <c r="M34" s="332"/>
      <c r="N34" s="254"/>
      <c r="O34" s="254"/>
      <c r="P34" s="254"/>
    </row>
    <row r="35" spans="1:16" ht="16" thickBot="1" x14ac:dyDescent="0.4">
      <c r="A35" s="833"/>
      <c r="B35" s="330"/>
      <c r="C35" s="445"/>
      <c r="D35" s="449"/>
      <c r="E35" s="430"/>
      <c r="F35" s="430"/>
      <c r="G35" s="448" t="str">
        <f t="shared" si="0"/>
        <v/>
      </c>
      <c r="H35" s="448" t="str">
        <f t="shared" si="1"/>
        <v/>
      </c>
      <c r="I35" s="330"/>
      <c r="K35" s="254"/>
      <c r="L35" s="254"/>
      <c r="M35" s="332"/>
      <c r="N35" s="254"/>
      <c r="O35" s="254"/>
      <c r="P35" s="254"/>
    </row>
    <row r="36" spans="1:16" ht="16" thickBot="1" x14ac:dyDescent="0.4">
      <c r="A36" s="833"/>
      <c r="B36" s="330"/>
      <c r="C36" s="445"/>
      <c r="D36" s="449"/>
      <c r="E36" s="430"/>
      <c r="F36" s="430"/>
      <c r="G36" s="448" t="str">
        <f t="shared" si="0"/>
        <v/>
      </c>
      <c r="H36" s="448" t="str">
        <f t="shared" si="1"/>
        <v/>
      </c>
      <c r="I36" s="330"/>
      <c r="K36" s="254"/>
      <c r="L36" s="254"/>
      <c r="M36" s="332"/>
      <c r="N36" s="254"/>
      <c r="O36" s="254"/>
      <c r="P36" s="254"/>
    </row>
    <row r="37" spans="1:16" ht="16" thickBot="1" x14ac:dyDescent="0.4">
      <c r="A37" s="833"/>
      <c r="B37" s="330"/>
      <c r="C37" s="445"/>
      <c r="D37" s="449"/>
      <c r="E37" s="430"/>
      <c r="F37" s="430"/>
      <c r="G37" s="448" t="str">
        <f t="shared" si="0"/>
        <v/>
      </c>
      <c r="H37" s="448" t="str">
        <f t="shared" si="1"/>
        <v/>
      </c>
      <c r="I37" s="330"/>
      <c r="K37" s="254"/>
      <c r="L37" s="254"/>
      <c r="M37" s="332"/>
      <c r="N37" s="254"/>
      <c r="O37" s="254"/>
      <c r="P37" s="254"/>
    </row>
    <row r="38" spans="1:16" ht="16" thickBot="1" x14ac:dyDescent="0.4">
      <c r="A38" s="833"/>
      <c r="B38" s="330"/>
      <c r="C38" s="445"/>
      <c r="D38" s="449"/>
      <c r="E38" s="430"/>
      <c r="F38" s="430"/>
      <c r="G38" s="448" t="str">
        <f t="shared" si="0"/>
        <v/>
      </c>
      <c r="H38" s="448" t="str">
        <f t="shared" si="1"/>
        <v/>
      </c>
      <c r="I38" s="330"/>
      <c r="K38" s="254"/>
      <c r="L38" s="254"/>
      <c r="M38" s="332"/>
      <c r="N38" s="254"/>
      <c r="O38" s="254"/>
      <c r="P38" s="254"/>
    </row>
    <row r="39" spans="1:16" ht="16" thickBot="1" x14ac:dyDescent="0.4">
      <c r="A39" s="833"/>
      <c r="B39" s="330"/>
      <c r="C39" s="445"/>
      <c r="D39" s="449"/>
      <c r="E39" s="430"/>
      <c r="F39" s="430"/>
      <c r="G39" s="448" t="str">
        <f t="shared" si="0"/>
        <v/>
      </c>
      <c r="H39" s="448" t="str">
        <f t="shared" si="1"/>
        <v/>
      </c>
      <c r="I39" s="330"/>
      <c r="K39" s="254"/>
      <c r="L39" s="254"/>
      <c r="M39" s="332"/>
      <c r="N39" s="254"/>
      <c r="O39" s="254"/>
      <c r="P39" s="254"/>
    </row>
    <row r="40" spans="1:16" ht="16" thickBot="1" x14ac:dyDescent="0.4">
      <c r="A40" s="833"/>
      <c r="B40" s="330"/>
      <c r="C40" s="445"/>
      <c r="D40" s="449"/>
      <c r="E40" s="430"/>
      <c r="F40" s="430"/>
      <c r="G40" s="448" t="str">
        <f t="shared" si="0"/>
        <v/>
      </c>
      <c r="H40" s="448" t="str">
        <f t="shared" si="1"/>
        <v/>
      </c>
      <c r="I40" s="330"/>
      <c r="K40" s="254"/>
      <c r="L40" s="254"/>
      <c r="M40" s="332"/>
      <c r="N40" s="254"/>
      <c r="O40" s="254"/>
      <c r="P40" s="254"/>
    </row>
    <row r="41" spans="1:16" ht="16" thickBot="1" x14ac:dyDescent="0.4">
      <c r="A41" s="833"/>
      <c r="B41" s="330"/>
      <c r="C41" s="445"/>
      <c r="D41" s="449"/>
      <c r="E41" s="430"/>
      <c r="F41" s="430"/>
      <c r="G41" s="448" t="str">
        <f t="shared" si="0"/>
        <v/>
      </c>
      <c r="H41" s="448" t="str">
        <f t="shared" si="1"/>
        <v/>
      </c>
      <c r="I41" s="330"/>
      <c r="K41" s="254"/>
      <c r="L41" s="254"/>
      <c r="M41" s="332"/>
      <c r="N41" s="254"/>
      <c r="O41" s="254"/>
      <c r="P41" s="254"/>
    </row>
    <row r="42" spans="1:16" ht="16" thickBot="1" x14ac:dyDescent="0.4">
      <c r="A42" s="833"/>
      <c r="B42" s="330"/>
      <c r="C42" s="445"/>
      <c r="D42" s="449"/>
      <c r="E42" s="430"/>
      <c r="F42" s="430"/>
      <c r="G42" s="448" t="str">
        <f t="shared" si="0"/>
        <v/>
      </c>
      <c r="H42" s="448" t="str">
        <f t="shared" si="1"/>
        <v/>
      </c>
      <c r="I42" s="330"/>
      <c r="K42" s="254"/>
      <c r="L42" s="254"/>
      <c r="M42" s="332"/>
      <c r="N42" s="254"/>
      <c r="O42" s="254"/>
      <c r="P42" s="254"/>
    </row>
    <row r="43" spans="1:16" ht="16" thickBot="1" x14ac:dyDescent="0.4">
      <c r="A43" s="833"/>
      <c r="B43" s="330"/>
      <c r="C43" s="445"/>
      <c r="D43" s="449"/>
      <c r="E43" s="430"/>
      <c r="F43" s="430"/>
      <c r="G43" s="448" t="str">
        <f t="shared" si="0"/>
        <v/>
      </c>
      <c r="H43" s="448" t="str">
        <f t="shared" si="1"/>
        <v/>
      </c>
      <c r="I43" s="330"/>
      <c r="K43" s="254"/>
      <c r="L43" s="254"/>
      <c r="M43" s="332"/>
      <c r="N43" s="254"/>
      <c r="O43" s="254"/>
      <c r="P43" s="254"/>
    </row>
    <row r="44" spans="1:16" ht="16" thickBot="1" x14ac:dyDescent="0.4">
      <c r="A44" s="833"/>
      <c r="B44" s="330"/>
      <c r="C44" s="445"/>
      <c r="D44" s="449"/>
      <c r="E44" s="430"/>
      <c r="F44" s="430"/>
      <c r="G44" s="448" t="str">
        <f t="shared" si="0"/>
        <v/>
      </c>
      <c r="H44" s="448" t="str">
        <f t="shared" si="1"/>
        <v/>
      </c>
      <c r="I44" s="330"/>
      <c r="K44" s="254"/>
      <c r="L44" s="254"/>
      <c r="M44" s="332"/>
      <c r="N44" s="254"/>
      <c r="O44" s="254"/>
      <c r="P44" s="254"/>
    </row>
    <row r="45" spans="1:16" ht="16" thickBot="1" x14ac:dyDescent="0.4">
      <c r="A45" s="833"/>
      <c r="B45" s="330"/>
      <c r="C45" s="445"/>
      <c r="D45" s="449"/>
      <c r="E45" s="430"/>
      <c r="F45" s="430"/>
      <c r="G45" s="448" t="str">
        <f t="shared" si="0"/>
        <v/>
      </c>
      <c r="H45" s="448" t="str">
        <f t="shared" si="1"/>
        <v/>
      </c>
      <c r="I45" s="330"/>
      <c r="K45" s="254"/>
      <c r="L45" s="254"/>
      <c r="M45" s="332"/>
      <c r="N45" s="254"/>
      <c r="O45" s="254"/>
      <c r="P45" s="254"/>
    </row>
    <row r="46" spans="1:16" ht="16" thickBot="1" x14ac:dyDescent="0.4">
      <c r="A46" s="833"/>
      <c r="B46" s="330"/>
      <c r="C46" s="445"/>
      <c r="D46" s="449"/>
      <c r="E46" s="430"/>
      <c r="F46" s="430"/>
      <c r="G46" s="448" t="str">
        <f t="shared" si="0"/>
        <v/>
      </c>
      <c r="H46" s="448" t="str">
        <f t="shared" si="1"/>
        <v/>
      </c>
      <c r="I46" s="330"/>
      <c r="K46" s="254"/>
      <c r="L46" s="254"/>
      <c r="M46" s="332"/>
      <c r="N46" s="254"/>
      <c r="O46" s="254"/>
      <c r="P46" s="254"/>
    </row>
    <row r="47" spans="1:16" ht="16" thickBot="1" x14ac:dyDescent="0.4">
      <c r="A47" s="833"/>
      <c r="B47" s="330"/>
      <c r="C47" s="445"/>
      <c r="D47" s="449"/>
      <c r="E47" s="430"/>
      <c r="F47" s="430"/>
      <c r="G47" s="448" t="str">
        <f t="shared" si="0"/>
        <v/>
      </c>
      <c r="H47" s="448" t="str">
        <f t="shared" si="1"/>
        <v/>
      </c>
      <c r="I47" s="330"/>
      <c r="K47" s="254"/>
      <c r="L47" s="254"/>
      <c r="M47" s="332"/>
      <c r="N47" s="254"/>
      <c r="O47" s="254"/>
      <c r="P47" s="254"/>
    </row>
    <row r="48" spans="1:16" ht="16" thickBot="1" x14ac:dyDescent="0.4">
      <c r="A48" s="833"/>
      <c r="B48" s="330"/>
      <c r="C48" s="445"/>
      <c r="D48" s="449"/>
      <c r="E48" s="430"/>
      <c r="F48" s="430"/>
      <c r="G48" s="448" t="str">
        <f t="shared" si="0"/>
        <v/>
      </c>
      <c r="H48" s="448" t="str">
        <f t="shared" si="1"/>
        <v/>
      </c>
      <c r="I48" s="330"/>
      <c r="K48" s="254"/>
      <c r="L48" s="254"/>
      <c r="M48" s="332"/>
      <c r="N48" s="254"/>
      <c r="O48" s="254"/>
      <c r="P48" s="254"/>
    </row>
    <row r="49" spans="1:16" ht="16" thickBot="1" x14ac:dyDescent="0.4">
      <c r="A49" s="833"/>
      <c r="B49" s="330"/>
      <c r="C49" s="445"/>
      <c r="D49" s="449"/>
      <c r="E49" s="430"/>
      <c r="F49" s="430"/>
      <c r="G49" s="448" t="str">
        <f t="shared" si="0"/>
        <v/>
      </c>
      <c r="H49" s="448" t="str">
        <f t="shared" si="1"/>
        <v/>
      </c>
      <c r="I49" s="330"/>
      <c r="K49" s="254"/>
      <c r="L49" s="254"/>
      <c r="M49" s="332"/>
      <c r="N49" s="254"/>
      <c r="O49" s="254"/>
      <c r="P49" s="254"/>
    </row>
    <row r="50" spans="1:16" ht="16" thickBot="1" x14ac:dyDescent="0.4">
      <c r="A50" s="833"/>
      <c r="B50" s="330"/>
      <c r="C50" s="445"/>
      <c r="D50" s="449"/>
      <c r="E50" s="430"/>
      <c r="F50" s="430"/>
      <c r="G50" s="448" t="str">
        <f t="shared" si="0"/>
        <v/>
      </c>
      <c r="H50" s="448" t="str">
        <f t="shared" si="1"/>
        <v/>
      </c>
      <c r="I50" s="330"/>
      <c r="K50" s="254"/>
      <c r="L50" s="254"/>
      <c r="M50" s="332"/>
      <c r="N50" s="254"/>
      <c r="O50" s="254"/>
      <c r="P50" s="254"/>
    </row>
    <row r="51" spans="1:16" ht="16" thickBot="1" x14ac:dyDescent="0.4">
      <c r="A51" s="833"/>
      <c r="B51" s="330"/>
      <c r="C51" s="445"/>
      <c r="D51" s="449"/>
      <c r="E51" s="430"/>
      <c r="F51" s="430"/>
      <c r="G51" s="448" t="str">
        <f t="shared" si="0"/>
        <v/>
      </c>
      <c r="H51" s="448" t="str">
        <f t="shared" si="1"/>
        <v/>
      </c>
      <c r="I51" s="330"/>
      <c r="K51" s="254"/>
      <c r="L51" s="254"/>
      <c r="M51" s="332"/>
      <c r="N51" s="254"/>
      <c r="O51" s="254"/>
      <c r="P51" s="254"/>
    </row>
    <row r="52" spans="1:16" ht="16" thickBot="1" x14ac:dyDescent="0.4">
      <c r="A52" s="833"/>
      <c r="B52" s="330"/>
      <c r="C52" s="445"/>
      <c r="D52" s="449"/>
      <c r="E52" s="430"/>
      <c r="F52" s="430"/>
      <c r="G52" s="448" t="str">
        <f t="shared" si="0"/>
        <v/>
      </c>
      <c r="H52" s="448" t="str">
        <f t="shared" si="1"/>
        <v/>
      </c>
      <c r="I52" s="330"/>
      <c r="K52" s="254"/>
      <c r="L52" s="254"/>
      <c r="M52" s="332"/>
      <c r="N52" s="254"/>
      <c r="O52" s="254"/>
      <c r="P52" s="254"/>
    </row>
    <row r="53" spans="1:16" ht="16" thickBot="1" x14ac:dyDescent="0.4">
      <c r="A53" s="833"/>
      <c r="B53" s="330"/>
      <c r="C53" s="445"/>
      <c r="D53" s="449"/>
      <c r="E53" s="430"/>
      <c r="F53" s="430"/>
      <c r="G53" s="448" t="str">
        <f t="shared" si="0"/>
        <v/>
      </c>
      <c r="H53" s="448" t="str">
        <f t="shared" si="1"/>
        <v/>
      </c>
      <c r="I53" s="330"/>
      <c r="K53" s="254"/>
      <c r="L53" s="254"/>
      <c r="M53" s="332"/>
      <c r="N53" s="254"/>
      <c r="O53" s="254"/>
      <c r="P53" s="254"/>
    </row>
    <row r="54" spans="1:16" ht="9" customHeight="1" thickBot="1" x14ac:dyDescent="0.4">
      <c r="A54" s="833"/>
      <c r="B54" s="330"/>
      <c r="C54" s="330"/>
      <c r="D54" s="330"/>
      <c r="E54" s="330"/>
      <c r="F54" s="330"/>
      <c r="G54" s="330"/>
      <c r="H54" s="450" t="str">
        <f>IF(VSK&lt;&gt;0, SUM(H31:H53),"")</f>
        <v/>
      </c>
      <c r="I54" s="330"/>
      <c r="K54" s="254"/>
      <c r="L54" s="254"/>
      <c r="M54" s="332"/>
      <c r="N54" s="254"/>
      <c r="O54" s="254"/>
      <c r="P54" s="254"/>
    </row>
    <row r="55" spans="1:16" ht="15" customHeight="1" x14ac:dyDescent="0.35">
      <c r="A55" s="833"/>
      <c r="B55" s="46"/>
      <c r="C55" s="317"/>
      <c r="D55" s="318"/>
      <c r="E55" s="317"/>
      <c r="F55" s="592" t="s">
        <v>633</v>
      </c>
      <c r="G55" s="317"/>
      <c r="H55" s="319"/>
      <c r="I55" s="47"/>
      <c r="K55" s="254"/>
      <c r="L55" s="254"/>
      <c r="M55" s="332"/>
      <c r="N55" s="254"/>
      <c r="O55" s="254"/>
      <c r="P55" s="254"/>
    </row>
    <row r="56" spans="1:16" ht="15.5" x14ac:dyDescent="0.35">
      <c r="A56" s="833"/>
      <c r="B56" s="46"/>
      <c r="C56" s="47" t="s">
        <v>34</v>
      </c>
      <c r="D56" s="47"/>
      <c r="E56" s="320"/>
      <c r="F56" s="899"/>
      <c r="G56" s="900"/>
      <c r="H56" s="901"/>
      <c r="I56" s="47"/>
      <c r="K56" s="254"/>
      <c r="L56" s="254"/>
      <c r="M56" s="332"/>
      <c r="N56" s="254"/>
      <c r="O56" s="254"/>
      <c r="P56" s="254"/>
    </row>
    <row r="57" spans="1:16" ht="15.5" x14ac:dyDescent="0.35">
      <c r="A57" s="833"/>
      <c r="B57" s="46"/>
      <c r="C57" s="47" t="s">
        <v>722</v>
      </c>
      <c r="D57" s="47"/>
      <c r="E57" s="604"/>
      <c r="F57" s="868"/>
      <c r="G57" s="895"/>
      <c r="H57" s="869"/>
      <c r="I57" s="47"/>
      <c r="K57" s="254"/>
      <c r="L57" s="254"/>
      <c r="M57" s="254"/>
      <c r="N57" s="254"/>
      <c r="O57" s="254"/>
      <c r="P57" s="254"/>
    </row>
    <row r="58" spans="1:16" ht="9" customHeight="1" x14ac:dyDescent="0.35">
      <c r="A58" s="833"/>
      <c r="B58" s="46"/>
      <c r="C58" s="47"/>
      <c r="D58" s="47"/>
      <c r="E58" s="53"/>
      <c r="F58" s="47"/>
      <c r="G58" s="46"/>
      <c r="H58" s="46"/>
      <c r="I58" s="45"/>
    </row>
    <row r="59" spans="1:16" ht="17.25" customHeight="1" x14ac:dyDescent="0.5">
      <c r="A59" s="833"/>
      <c r="B59" s="45"/>
      <c r="C59" s="54" t="str">
        <f>IF(VSK=0, "UNVOLLSTÄNDIG AUSGEFÜLLT!","")</f>
        <v>UNVOLLSTÄNDIG AUSGEFÜLLT!</v>
      </c>
      <c r="D59" s="45"/>
      <c r="E59" s="438">
        <f>IF(SUM(H31:H53)&gt;0,1,0)</f>
        <v>0</v>
      </c>
      <c r="F59" s="45"/>
      <c r="G59" s="852" t="str">
        <f>IF(VSK&lt;&gt;0, G104,"")</f>
        <v/>
      </c>
      <c r="H59" s="852"/>
      <c r="I59" s="45"/>
    </row>
    <row r="60" spans="1:16" ht="15.5" x14ac:dyDescent="0.35">
      <c r="A60" s="833"/>
      <c r="B60" s="45"/>
      <c r="C60" s="45"/>
      <c r="D60" s="45"/>
      <c r="E60" s="45"/>
      <c r="F60" s="45"/>
      <c r="G60" s="45"/>
      <c r="H60" s="45"/>
      <c r="I60" s="45"/>
      <c r="P60" s="254"/>
    </row>
    <row r="61" spans="1:16" ht="15.5" x14ac:dyDescent="0.35">
      <c r="A61" s="833"/>
      <c r="I61" s="577" t="str">
        <f ca="1">IF(VLOOKUP(B67,CHOOSE({5,4,3,2,1},Gesamt!L32:L65,Gesamt!M32:M65,Gesamt!N32:N65,Gesamt!O32:O65,Gesamt!P32:P65,),4,0)&gt;0,CONCATENATE("Pos. ",VLOOKUP(B67,CHOOSE({5,4,3,2,1},Gesamt!L32:L65,Gesamt!M32:M65,Gesamt!N32:N65,Gesamt!O32:O65,Gesamt!P32:P65,),VLOOKUP(Gesamt!C19,Gesamt!L5:N7,3,0),0)),"")</f>
        <v/>
      </c>
    </row>
    <row r="62" spans="1:16" ht="15" customHeight="1" x14ac:dyDescent="0.35">
      <c r="A62" s="830" t="s">
        <v>66</v>
      </c>
      <c r="B62" s="831" t="str">
        <f>CONCATENATE(Gesamt!C2, ": ", Gesamt!E2)</f>
        <v xml:space="preserve">Projekt: </v>
      </c>
      <c r="C62" s="831"/>
      <c r="D62" s="831"/>
      <c r="E62" s="831"/>
      <c r="F62" s="831"/>
      <c r="G62" s="831"/>
      <c r="H62" s="831"/>
      <c r="I62" s="831"/>
    </row>
    <row r="63" spans="1:16" x14ac:dyDescent="0.35">
      <c r="A63" s="830"/>
      <c r="B63" s="832" t="str">
        <f>CONCATENATE(Gesamt!C4, ": ", Gesamt!E4, IF(Gesamt!E5&lt;&gt;""," - ",""), IF(Gesamt!E5&lt;&gt;"",Gesamt!E5,""), IF(Gesamt!E6&lt;&gt;""," - GZ. ",""), IF(Gesamt!E6&lt;&gt;"",Gesamt!E6,""),)</f>
        <v xml:space="preserve">Auftraggeber: </v>
      </c>
      <c r="C63" s="832"/>
      <c r="D63" s="832"/>
      <c r="E63" s="832"/>
      <c r="F63" s="832"/>
      <c r="G63" s="832"/>
      <c r="H63" s="832"/>
      <c r="I63" s="832"/>
    </row>
    <row r="64" spans="1:16" x14ac:dyDescent="0.35">
      <c r="A64" s="830"/>
      <c r="B64" s="832" t="str">
        <f>CONCATENATE(Gesamt!C9, ": ",Gesamt!E9,  IF(Gesamt!C10&lt;&gt;""," - ",""), IF(Gesamt!C10&lt;&gt;"",Gesamt!E10,""), IF(Gesamt!C11&lt;&gt;""," - GZ. ",""), IF(Gesamt!C11&lt;&gt;"",Gesamt!E11,""), )</f>
        <v xml:space="preserve">Bieter:  -  - GZ. </v>
      </c>
      <c r="C64" s="832"/>
      <c r="D64" s="832"/>
      <c r="E64" s="832"/>
      <c r="F64" s="832"/>
      <c r="G64" s="832"/>
      <c r="H64" s="832"/>
      <c r="I64" s="832"/>
    </row>
    <row r="65" spans="1:15" x14ac:dyDescent="0.35">
      <c r="A65" s="830"/>
      <c r="B65" s="832" t="s">
        <v>41</v>
      </c>
      <c r="C65" s="832"/>
      <c r="D65" s="832"/>
      <c r="E65" s="832"/>
      <c r="F65" s="832"/>
      <c r="G65" s="832"/>
      <c r="H65" s="832"/>
      <c r="I65" s="832"/>
    </row>
    <row r="66" spans="1:15" x14ac:dyDescent="0.35">
      <c r="A66" s="830"/>
    </row>
    <row r="67" spans="1:15" ht="18.5" x14ac:dyDescent="0.35">
      <c r="A67" s="830"/>
      <c r="B67" s="843" t="str">
        <f>C2</f>
        <v>Regieleistung  B</v>
      </c>
      <c r="C67" s="843"/>
      <c r="D67" s="843"/>
      <c r="E67" s="843"/>
      <c r="F67" s="843"/>
      <c r="G67" s="843"/>
      <c r="H67" s="843"/>
      <c r="I67" s="843"/>
    </row>
    <row r="68" spans="1:15" x14ac:dyDescent="0.35">
      <c r="A68" s="830"/>
    </row>
    <row r="69" spans="1:15" x14ac:dyDescent="0.35">
      <c r="A69" s="830"/>
      <c r="B69" s="708"/>
      <c r="C69" s="708" t="s">
        <v>698</v>
      </c>
      <c r="D69" s="708"/>
      <c r="E69" s="708"/>
      <c r="F69" s="708"/>
      <c r="G69" s="708"/>
      <c r="H69" s="708"/>
    </row>
    <row r="70" spans="1:15" ht="7.5" customHeight="1" x14ac:dyDescent="0.35">
      <c r="A70" s="830"/>
      <c r="B70" s="708"/>
      <c r="C70" s="708"/>
      <c r="D70" s="708"/>
      <c r="E70" s="708"/>
      <c r="F70" s="708"/>
      <c r="G70" s="708"/>
      <c r="H70" s="708"/>
    </row>
    <row r="71" spans="1:15" ht="17.25" customHeight="1" x14ac:dyDescent="0.35">
      <c r="A71" s="830"/>
      <c r="B71" s="708"/>
      <c r="C71" s="708" t="s">
        <v>959</v>
      </c>
      <c r="D71" s="708"/>
      <c r="E71" s="709">
        <f>IS</f>
        <v>0</v>
      </c>
      <c r="F71" s="708"/>
      <c r="G71" s="708"/>
      <c r="H71" s="708"/>
    </row>
    <row r="72" spans="1:15" ht="6.75" customHeight="1" x14ac:dyDescent="0.35">
      <c r="A72" s="830"/>
      <c r="B72" s="708"/>
      <c r="C72" s="710"/>
      <c r="D72" s="708"/>
      <c r="E72" s="708"/>
      <c r="F72" s="708"/>
      <c r="G72" s="708"/>
      <c r="H72" s="708"/>
    </row>
    <row r="73" spans="1:15" ht="68.25" customHeight="1" x14ac:dyDescent="0.35">
      <c r="A73" s="830"/>
      <c r="C73" s="994" t="str">
        <f>C4</f>
        <v xml:space="preserve">Leistungsbeschreibung 
</v>
      </c>
      <c r="D73" s="994"/>
      <c r="E73" s="994"/>
      <c r="F73" s="994"/>
      <c r="G73" s="994"/>
      <c r="H73" s="994"/>
    </row>
    <row r="74" spans="1:15" ht="6.75" customHeight="1" x14ac:dyDescent="0.35">
      <c r="A74" s="830"/>
      <c r="C74" s="15"/>
    </row>
    <row r="75" spans="1:15" ht="14.25" customHeight="1" x14ac:dyDescent="0.35">
      <c r="A75" s="830"/>
      <c r="C75" s="442" t="s">
        <v>618</v>
      </c>
      <c r="D75" s="442" t="s">
        <v>619</v>
      </c>
      <c r="E75" s="443" t="s">
        <v>617</v>
      </c>
      <c r="F75" s="443" t="s">
        <v>620</v>
      </c>
      <c r="G75" s="443" t="s">
        <v>601</v>
      </c>
      <c r="H75" s="443" t="s">
        <v>616</v>
      </c>
    </row>
    <row r="76" spans="1:15" x14ac:dyDescent="0.35">
      <c r="A76" s="830"/>
      <c r="C76" s="446" t="str">
        <f t="shared" ref="C76:H76" si="2">IF(C31&lt;&gt;"",C31,"")</f>
        <v/>
      </c>
      <c r="D76" s="440" t="str">
        <f t="shared" si="2"/>
        <v/>
      </c>
      <c r="E76" s="439" t="str">
        <f t="shared" si="2"/>
        <v/>
      </c>
      <c r="F76" s="439" t="str">
        <f t="shared" si="2"/>
        <v/>
      </c>
      <c r="G76" s="444" t="str">
        <f t="shared" si="2"/>
        <v/>
      </c>
      <c r="H76" s="441" t="str">
        <f t="shared" si="2"/>
        <v/>
      </c>
    </row>
    <row r="77" spans="1:15" x14ac:dyDescent="0.35">
      <c r="A77" s="830"/>
      <c r="C77" s="446" t="str">
        <f t="shared" ref="C77:H92" si="3">IF(C32&lt;&gt;"",C32,"")</f>
        <v/>
      </c>
      <c r="D77" s="440" t="str">
        <f t="shared" si="3"/>
        <v/>
      </c>
      <c r="E77" s="439" t="str">
        <f t="shared" si="3"/>
        <v/>
      </c>
      <c r="F77" s="439" t="str">
        <f t="shared" si="3"/>
        <v/>
      </c>
      <c r="G77" s="444" t="str">
        <f t="shared" si="3"/>
        <v/>
      </c>
      <c r="H77" s="441" t="str">
        <f t="shared" si="3"/>
        <v/>
      </c>
      <c r="K77" s="835" t="s">
        <v>626</v>
      </c>
      <c r="L77" s="879"/>
      <c r="M77" s="879"/>
      <c r="N77" s="879"/>
      <c r="O77" s="880"/>
    </row>
    <row r="78" spans="1:15" x14ac:dyDescent="0.35">
      <c r="A78" s="830"/>
      <c r="C78" s="446" t="str">
        <f t="shared" si="3"/>
        <v/>
      </c>
      <c r="D78" s="440" t="str">
        <f t="shared" si="3"/>
        <v/>
      </c>
      <c r="E78" s="439" t="str">
        <f t="shared" si="3"/>
        <v/>
      </c>
      <c r="F78" s="439" t="str">
        <f t="shared" si="3"/>
        <v/>
      </c>
      <c r="G78" s="444" t="str">
        <f t="shared" si="3"/>
        <v/>
      </c>
      <c r="H78" s="441" t="str">
        <f t="shared" si="3"/>
        <v/>
      </c>
      <c r="K78" s="881"/>
      <c r="L78" s="882"/>
      <c r="M78" s="882"/>
      <c r="N78" s="882"/>
      <c r="O78" s="883"/>
    </row>
    <row r="79" spans="1:15" x14ac:dyDescent="0.35">
      <c r="A79" s="830"/>
      <c r="C79" s="446" t="str">
        <f t="shared" si="3"/>
        <v/>
      </c>
      <c r="D79" s="440" t="str">
        <f t="shared" si="3"/>
        <v/>
      </c>
      <c r="E79" s="439" t="str">
        <f t="shared" si="3"/>
        <v/>
      </c>
      <c r="F79" s="439" t="str">
        <f t="shared" si="3"/>
        <v/>
      </c>
      <c r="G79" s="444" t="str">
        <f t="shared" si="3"/>
        <v/>
      </c>
      <c r="H79" s="441" t="str">
        <f t="shared" si="3"/>
        <v/>
      </c>
      <c r="K79" s="881"/>
      <c r="L79" s="882"/>
      <c r="M79" s="882"/>
      <c r="N79" s="882"/>
      <c r="O79" s="883"/>
    </row>
    <row r="80" spans="1:15" x14ac:dyDescent="0.35">
      <c r="A80" s="830"/>
      <c r="C80" s="446" t="str">
        <f t="shared" si="3"/>
        <v/>
      </c>
      <c r="D80" s="440" t="str">
        <f t="shared" si="3"/>
        <v/>
      </c>
      <c r="E80" s="439" t="str">
        <f t="shared" si="3"/>
        <v/>
      </c>
      <c r="F80" s="439" t="str">
        <f t="shared" si="3"/>
        <v/>
      </c>
      <c r="G80" s="444" t="str">
        <f t="shared" si="3"/>
        <v/>
      </c>
      <c r="H80" s="441" t="str">
        <f t="shared" si="3"/>
        <v/>
      </c>
      <c r="K80" s="881"/>
      <c r="L80" s="882"/>
      <c r="M80" s="882"/>
      <c r="N80" s="882"/>
      <c r="O80" s="883"/>
    </row>
    <row r="81" spans="1:15" x14ac:dyDescent="0.35">
      <c r="A81" s="830"/>
      <c r="C81" s="446" t="str">
        <f t="shared" si="3"/>
        <v/>
      </c>
      <c r="D81" s="440" t="str">
        <f t="shared" si="3"/>
        <v/>
      </c>
      <c r="E81" s="439" t="str">
        <f t="shared" si="3"/>
        <v/>
      </c>
      <c r="F81" s="439" t="str">
        <f t="shared" si="3"/>
        <v/>
      </c>
      <c r="G81" s="444" t="str">
        <f t="shared" si="3"/>
        <v/>
      </c>
      <c r="H81" s="441" t="str">
        <f t="shared" si="3"/>
        <v/>
      </c>
      <c r="K81" s="884"/>
      <c r="L81" s="885"/>
      <c r="M81" s="885"/>
      <c r="N81" s="885"/>
      <c r="O81" s="886"/>
    </row>
    <row r="82" spans="1:15" x14ac:dyDescent="0.35">
      <c r="A82" s="830"/>
      <c r="C82" s="446" t="str">
        <f t="shared" si="3"/>
        <v/>
      </c>
      <c r="D82" s="440" t="str">
        <f t="shared" si="3"/>
        <v/>
      </c>
      <c r="E82" s="439" t="str">
        <f t="shared" si="3"/>
        <v/>
      </c>
      <c r="F82" s="439" t="str">
        <f t="shared" si="3"/>
        <v/>
      </c>
      <c r="G82" s="444" t="str">
        <f t="shared" si="3"/>
        <v/>
      </c>
      <c r="H82" s="441" t="str">
        <f t="shared" si="3"/>
        <v/>
      </c>
    </row>
    <row r="83" spans="1:15" x14ac:dyDescent="0.35">
      <c r="A83" s="830"/>
      <c r="C83" s="446" t="str">
        <f t="shared" si="3"/>
        <v/>
      </c>
      <c r="D83" s="440" t="str">
        <f t="shared" si="3"/>
        <v/>
      </c>
      <c r="E83" s="439" t="str">
        <f t="shared" si="3"/>
        <v/>
      </c>
      <c r="F83" s="439" t="str">
        <f t="shared" si="3"/>
        <v/>
      </c>
      <c r="G83" s="444" t="str">
        <f t="shared" si="3"/>
        <v/>
      </c>
      <c r="H83" s="441" t="str">
        <f t="shared" si="3"/>
        <v/>
      </c>
    </row>
    <row r="84" spans="1:15" x14ac:dyDescent="0.35">
      <c r="A84" s="830"/>
      <c r="C84" s="446" t="str">
        <f t="shared" si="3"/>
        <v/>
      </c>
      <c r="D84" s="440" t="str">
        <f t="shared" si="3"/>
        <v/>
      </c>
      <c r="E84" s="439" t="str">
        <f t="shared" si="3"/>
        <v/>
      </c>
      <c r="F84" s="439" t="str">
        <f t="shared" si="3"/>
        <v/>
      </c>
      <c r="G84" s="444" t="str">
        <f t="shared" si="3"/>
        <v/>
      </c>
      <c r="H84" s="441" t="str">
        <f t="shared" si="3"/>
        <v/>
      </c>
    </row>
    <row r="85" spans="1:15" x14ac:dyDescent="0.35">
      <c r="A85" s="830"/>
      <c r="C85" s="446" t="str">
        <f t="shared" si="3"/>
        <v/>
      </c>
      <c r="D85" s="440" t="str">
        <f t="shared" si="3"/>
        <v/>
      </c>
      <c r="E85" s="439" t="str">
        <f t="shared" si="3"/>
        <v/>
      </c>
      <c r="F85" s="439" t="str">
        <f t="shared" si="3"/>
        <v/>
      </c>
      <c r="G85" s="444" t="str">
        <f t="shared" si="3"/>
        <v/>
      </c>
      <c r="H85" s="441" t="str">
        <f t="shared" si="3"/>
        <v/>
      </c>
    </row>
    <row r="86" spans="1:15" x14ac:dyDescent="0.35">
      <c r="A86" s="830"/>
      <c r="C86" s="446" t="str">
        <f t="shared" si="3"/>
        <v/>
      </c>
      <c r="D86" s="440" t="str">
        <f t="shared" si="3"/>
        <v/>
      </c>
      <c r="E86" s="439" t="str">
        <f t="shared" si="3"/>
        <v/>
      </c>
      <c r="F86" s="439" t="str">
        <f t="shared" si="3"/>
        <v/>
      </c>
      <c r="G86" s="444" t="str">
        <f t="shared" si="3"/>
        <v/>
      </c>
      <c r="H86" s="441" t="str">
        <f t="shared" si="3"/>
        <v/>
      </c>
    </row>
    <row r="87" spans="1:15" x14ac:dyDescent="0.35">
      <c r="A87" s="830"/>
      <c r="C87" s="446" t="str">
        <f t="shared" si="3"/>
        <v/>
      </c>
      <c r="D87" s="440" t="str">
        <f t="shared" si="3"/>
        <v/>
      </c>
      <c r="E87" s="439" t="str">
        <f t="shared" si="3"/>
        <v/>
      </c>
      <c r="F87" s="439" t="str">
        <f t="shared" si="3"/>
        <v/>
      </c>
      <c r="G87" s="444" t="str">
        <f t="shared" si="3"/>
        <v/>
      </c>
      <c r="H87" s="441" t="str">
        <f t="shared" si="3"/>
        <v/>
      </c>
    </row>
    <row r="88" spans="1:15" x14ac:dyDescent="0.35">
      <c r="A88" s="830"/>
      <c r="C88" s="446" t="str">
        <f t="shared" si="3"/>
        <v/>
      </c>
      <c r="D88" s="440" t="str">
        <f t="shared" si="3"/>
        <v/>
      </c>
      <c r="E88" s="439" t="str">
        <f t="shared" si="3"/>
        <v/>
      </c>
      <c r="F88" s="439" t="str">
        <f t="shared" si="3"/>
        <v/>
      </c>
      <c r="G88" s="444" t="str">
        <f t="shared" si="3"/>
        <v/>
      </c>
      <c r="H88" s="441" t="str">
        <f t="shared" si="3"/>
        <v/>
      </c>
    </row>
    <row r="89" spans="1:15" x14ac:dyDescent="0.35">
      <c r="A89" s="830"/>
      <c r="C89" s="446" t="str">
        <f t="shared" si="3"/>
        <v/>
      </c>
      <c r="D89" s="440" t="str">
        <f t="shared" si="3"/>
        <v/>
      </c>
      <c r="E89" s="439" t="str">
        <f t="shared" si="3"/>
        <v/>
      </c>
      <c r="F89" s="439" t="str">
        <f t="shared" si="3"/>
        <v/>
      </c>
      <c r="G89" s="444" t="str">
        <f t="shared" si="3"/>
        <v/>
      </c>
      <c r="H89" s="441" t="str">
        <f t="shared" si="3"/>
        <v/>
      </c>
    </row>
    <row r="90" spans="1:15" x14ac:dyDescent="0.35">
      <c r="A90" s="830"/>
      <c r="C90" s="446" t="str">
        <f t="shared" si="3"/>
        <v/>
      </c>
      <c r="D90" s="440" t="str">
        <f t="shared" si="3"/>
        <v/>
      </c>
      <c r="E90" s="439" t="str">
        <f t="shared" si="3"/>
        <v/>
      </c>
      <c r="F90" s="439" t="str">
        <f t="shared" si="3"/>
        <v/>
      </c>
      <c r="G90" s="444" t="str">
        <f t="shared" si="3"/>
        <v/>
      </c>
      <c r="H90" s="441" t="str">
        <f t="shared" si="3"/>
        <v/>
      </c>
    </row>
    <row r="91" spans="1:15" x14ac:dyDescent="0.35">
      <c r="A91" s="830"/>
      <c r="C91" s="446" t="str">
        <f t="shared" si="3"/>
        <v/>
      </c>
      <c r="D91" s="440" t="str">
        <f t="shared" si="3"/>
        <v/>
      </c>
      <c r="E91" s="439" t="str">
        <f t="shared" si="3"/>
        <v/>
      </c>
      <c r="F91" s="439" t="str">
        <f t="shared" si="3"/>
        <v/>
      </c>
      <c r="G91" s="444" t="str">
        <f t="shared" si="3"/>
        <v/>
      </c>
      <c r="H91" s="441" t="str">
        <f t="shared" si="3"/>
        <v/>
      </c>
    </row>
    <row r="92" spans="1:15" x14ac:dyDescent="0.35">
      <c r="A92" s="830"/>
      <c r="C92" s="446" t="str">
        <f t="shared" si="3"/>
        <v/>
      </c>
      <c r="D92" s="440" t="str">
        <f t="shared" si="3"/>
        <v/>
      </c>
      <c r="E92" s="439" t="str">
        <f t="shared" si="3"/>
        <v/>
      </c>
      <c r="F92" s="439" t="str">
        <f t="shared" si="3"/>
        <v/>
      </c>
      <c r="G92" s="444" t="str">
        <f t="shared" si="3"/>
        <v/>
      </c>
      <c r="H92" s="441" t="str">
        <f t="shared" si="3"/>
        <v/>
      </c>
    </row>
    <row r="93" spans="1:15" x14ac:dyDescent="0.35">
      <c r="A93" s="830"/>
      <c r="B93" s="3"/>
      <c r="C93" s="446" t="str">
        <f t="shared" ref="C93:H98" si="4">IF(C48&lt;&gt;"",C48,"")</f>
        <v/>
      </c>
      <c r="D93" s="440" t="str">
        <f t="shared" si="4"/>
        <v/>
      </c>
      <c r="E93" s="439" t="str">
        <f t="shared" si="4"/>
        <v/>
      </c>
      <c r="F93" s="439" t="str">
        <f t="shared" si="4"/>
        <v/>
      </c>
      <c r="G93" s="444" t="str">
        <f t="shared" si="4"/>
        <v/>
      </c>
      <c r="H93" s="441" t="str">
        <f t="shared" si="4"/>
        <v/>
      </c>
    </row>
    <row r="94" spans="1:15" x14ac:dyDescent="0.35">
      <c r="A94" s="830"/>
      <c r="C94" s="446" t="str">
        <f t="shared" si="4"/>
        <v/>
      </c>
      <c r="D94" s="440" t="str">
        <f t="shared" si="4"/>
        <v/>
      </c>
      <c r="E94" s="439" t="str">
        <f t="shared" si="4"/>
        <v/>
      </c>
      <c r="F94" s="439" t="str">
        <f t="shared" si="4"/>
        <v/>
      </c>
      <c r="G94" s="444" t="str">
        <f t="shared" si="4"/>
        <v/>
      </c>
      <c r="H94" s="441" t="str">
        <f t="shared" si="4"/>
        <v/>
      </c>
    </row>
    <row r="95" spans="1:15" x14ac:dyDescent="0.35">
      <c r="A95" s="830"/>
      <c r="C95" s="446" t="str">
        <f t="shared" si="4"/>
        <v/>
      </c>
      <c r="D95" s="440" t="str">
        <f t="shared" si="4"/>
        <v/>
      </c>
      <c r="E95" s="439" t="str">
        <f t="shared" si="4"/>
        <v/>
      </c>
      <c r="F95" s="439" t="str">
        <f t="shared" si="4"/>
        <v/>
      </c>
      <c r="G95" s="444" t="str">
        <f t="shared" si="4"/>
        <v/>
      </c>
      <c r="H95" s="441" t="str">
        <f t="shared" si="4"/>
        <v/>
      </c>
    </row>
    <row r="96" spans="1:15" x14ac:dyDescent="0.35">
      <c r="A96" s="830"/>
      <c r="C96" s="446" t="str">
        <f t="shared" si="4"/>
        <v/>
      </c>
      <c r="D96" s="440" t="str">
        <f t="shared" si="4"/>
        <v/>
      </c>
      <c r="E96" s="439" t="str">
        <f t="shared" si="4"/>
        <v/>
      </c>
      <c r="F96" s="439" t="str">
        <f t="shared" si="4"/>
        <v/>
      </c>
      <c r="G96" s="444" t="str">
        <f t="shared" si="4"/>
        <v/>
      </c>
      <c r="H96" s="441" t="str">
        <f t="shared" si="4"/>
        <v/>
      </c>
    </row>
    <row r="97" spans="1:9" x14ac:dyDescent="0.35">
      <c r="A97" s="830"/>
      <c r="C97" s="446" t="str">
        <f t="shared" si="4"/>
        <v/>
      </c>
      <c r="D97" s="440" t="str">
        <f t="shared" si="4"/>
        <v/>
      </c>
      <c r="E97" s="439" t="str">
        <f t="shared" si="4"/>
        <v/>
      </c>
      <c r="F97" s="439" t="str">
        <f t="shared" si="4"/>
        <v/>
      </c>
      <c r="G97" s="444" t="str">
        <f t="shared" si="4"/>
        <v/>
      </c>
      <c r="H97" s="441" t="str">
        <f t="shared" si="4"/>
        <v/>
      </c>
    </row>
    <row r="98" spans="1:9" x14ac:dyDescent="0.35">
      <c r="A98" s="830"/>
      <c r="C98" s="446" t="str">
        <f t="shared" si="4"/>
        <v/>
      </c>
      <c r="D98" s="440" t="str">
        <f t="shared" si="4"/>
        <v/>
      </c>
      <c r="E98" s="439" t="str">
        <f t="shared" si="4"/>
        <v/>
      </c>
      <c r="F98" s="439" t="str">
        <f t="shared" si="4"/>
        <v/>
      </c>
      <c r="G98" s="444" t="str">
        <f t="shared" si="4"/>
        <v/>
      </c>
      <c r="H98" s="441" t="str">
        <f t="shared" si="4"/>
        <v/>
      </c>
    </row>
    <row r="99" spans="1:9" x14ac:dyDescent="0.35">
      <c r="A99" s="830"/>
      <c r="C99" s="447"/>
      <c r="D99" s="447"/>
      <c r="E99" s="447"/>
      <c r="F99" s="447"/>
      <c r="G99" s="892" t="str">
        <f>IF(VSK&lt;&gt;0, SUM(H76:H98),"")</f>
        <v/>
      </c>
      <c r="H99" s="892"/>
    </row>
    <row r="100" spans="1:9" x14ac:dyDescent="0.35">
      <c r="A100" s="830"/>
    </row>
    <row r="101" spans="1:9" x14ac:dyDescent="0.35">
      <c r="A101" s="830"/>
      <c r="B101" s="3"/>
      <c r="C101" t="str">
        <f>IF(AND(ZuAbschlag&lt;&gt;0,VSK&lt;&gt;0),"Zu-/Abschlag:","")</f>
        <v/>
      </c>
      <c r="E101" s="15" t="str">
        <f>IF(AND(ZuAbschlag&lt;&gt;0,VSK&lt;&gt;0),ZuAbschlag,"")</f>
        <v/>
      </c>
      <c r="F101" s="481" t="str">
        <f>IF(AND(ZuAbschlag&lt;&gt;0,VSK&lt;&gt;0),G99*E101,"")</f>
        <v/>
      </c>
      <c r="G101" s="1" t="str">
        <f>IF(AND(ZuAbschlag&lt;&gt;0,VSK&lt;&gt;0,F56&lt;&gt;""),F56,"")</f>
        <v/>
      </c>
    </row>
    <row r="102" spans="1:9" ht="15.5" x14ac:dyDescent="0.35">
      <c r="A102" s="830"/>
      <c r="C102" t="str">
        <f>IF(AND(NK&lt;&gt;0,VSK&lt;&gt;0),"Nebenkosten:","")</f>
        <v/>
      </c>
      <c r="F102" s="481" t="str">
        <f>IF(AND(NK&lt;&gt;0,VSK&lt;&gt;0),NK,"")</f>
        <v/>
      </c>
      <c r="G102" s="1" t="str">
        <f>IF(AND(NK&lt;&gt;0,VSK&lt;&gt;0,F57&lt;&gt;""),F57,"")</f>
        <v/>
      </c>
      <c r="I102" s="16"/>
    </row>
    <row r="103" spans="1:9" x14ac:dyDescent="0.35">
      <c r="A103" s="830"/>
    </row>
    <row r="104" spans="1:9" ht="15.5" x14ac:dyDescent="0.35">
      <c r="A104" s="830"/>
      <c r="C104" s="16" t="s">
        <v>65</v>
      </c>
      <c r="D104" s="16"/>
      <c r="E104" s="16"/>
      <c r="F104" s="16"/>
      <c r="G104" s="893">
        <f>IF(VSK&gt;0,SUM(F102,F101,G99),0)</f>
        <v>0</v>
      </c>
      <c r="H104" s="894"/>
    </row>
    <row r="105" spans="1:9" x14ac:dyDescent="0.35">
      <c r="A105" s="830"/>
    </row>
  </sheetData>
  <mergeCells count="16">
    <mergeCell ref="K77:O81"/>
    <mergeCell ref="G99:H99"/>
    <mergeCell ref="G104:H104"/>
    <mergeCell ref="F56:H56"/>
    <mergeCell ref="F57:H57"/>
    <mergeCell ref="G59:H59"/>
    <mergeCell ref="A1:A61"/>
    <mergeCell ref="C2:H2"/>
    <mergeCell ref="C4:H5"/>
    <mergeCell ref="A62:A105"/>
    <mergeCell ref="B62:I62"/>
    <mergeCell ref="B63:I63"/>
    <mergeCell ref="B64:I64"/>
    <mergeCell ref="B65:I65"/>
    <mergeCell ref="B67:I67"/>
    <mergeCell ref="C73:H73"/>
  </mergeCells>
  <dataValidations disablePrompts="1" count="4">
    <dataValidation type="decimal" operator="greaterThan" showInputMessage="1" showErrorMessage="1" sqref="E56" xr:uid="{00000000-0002-0000-1B00-000000000000}">
      <formula1>-1000</formula1>
    </dataValidation>
    <dataValidation type="decimal" operator="greaterThan" allowBlank="1" showInputMessage="1" showErrorMessage="1" sqref="E57" xr:uid="{00000000-0002-0000-1B00-000001000000}">
      <formula1>-1000000</formula1>
    </dataValidation>
    <dataValidation type="list" showInputMessage="1" showErrorMessage="1" sqref="E31:E53" xr:uid="{00000000-0002-0000-1B00-000002000000}">
      <formula1>$G$8:$G$27</formula1>
    </dataValidation>
    <dataValidation type="decimal" operator="greaterThan" allowBlank="1" showInputMessage="1" showErrorMessage="1" sqref="F31:F53" xr:uid="{00000000-0002-0000-1B00-000003000000}">
      <formula1>-99999</formula1>
    </dataValidation>
  </dataValidations>
  <pageMargins left="0.70866141732283472" right="0.39370078740157483" top="0.59055118110236227" bottom="0.59055118110236227" header="0.31496062992125984" footer="0.31496062992125984"/>
  <pageSetup paperSize="9" orientation="portrait" r:id="rId1"/>
  <headerFooter>
    <oddFooter>&amp;L&amp;9&amp;F, &amp;A&amp;R&amp;9&amp;D</oddFooter>
  </headerFooter>
  <legacyDrawingHF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Tabelle34"/>
  <dimension ref="A1:U105"/>
  <sheetViews>
    <sheetView zoomScaleNormal="100" workbookViewId="0">
      <selection activeCell="C4" sqref="C4:H5"/>
    </sheetView>
  </sheetViews>
  <sheetFormatPr baseColWidth="10" defaultColWidth="11.453125" defaultRowHeight="14.5" x14ac:dyDescent="0.35"/>
  <cols>
    <col min="1" max="1" width="4" customWidth="1"/>
    <col min="2" max="2" width="4.7265625" customWidth="1"/>
    <col min="3" max="3" width="5.7265625" customWidth="1"/>
    <col min="4" max="4" width="35.7265625" customWidth="1"/>
    <col min="5" max="7" width="8.453125" customWidth="1"/>
    <col min="8" max="8" width="11.453125" customWidth="1"/>
    <col min="9" max="9" width="4.26953125" customWidth="1"/>
  </cols>
  <sheetData>
    <row r="1" spans="1:21" ht="15.75" customHeight="1" x14ac:dyDescent="0.35">
      <c r="A1" s="833" t="s">
        <v>35</v>
      </c>
      <c r="B1" s="45"/>
      <c r="C1" s="45"/>
      <c r="D1" s="45"/>
      <c r="E1" s="45"/>
      <c r="F1" s="45"/>
      <c r="G1" s="45"/>
      <c r="H1" s="45"/>
      <c r="I1" s="45"/>
      <c r="K1" s="93" t="s">
        <v>699</v>
      </c>
      <c r="L1" s="93"/>
      <c r="M1" s="93"/>
      <c r="N1" s="94">
        <f ca="1">CELL("ZEILE",B67)</f>
        <v>67</v>
      </c>
    </row>
    <row r="2" spans="1:21" ht="23.5" x14ac:dyDescent="0.35">
      <c r="A2" s="833"/>
      <c r="B2" s="46"/>
      <c r="C2" s="864" t="s">
        <v>1153</v>
      </c>
      <c r="D2" s="865"/>
      <c r="E2" s="865"/>
      <c r="F2" s="865"/>
      <c r="G2" s="865"/>
      <c r="H2" s="866"/>
      <c r="I2" s="45"/>
      <c r="K2" s="175" t="s">
        <v>700</v>
      </c>
      <c r="L2" s="155"/>
      <c r="M2" s="155"/>
      <c r="N2" s="175">
        <f ca="1">CELL("ZEILE",G104)</f>
        <v>104</v>
      </c>
    </row>
    <row r="3" spans="1:21" ht="15.5" x14ac:dyDescent="0.35">
      <c r="A3" s="833"/>
      <c r="B3" s="330"/>
      <c r="C3" s="330"/>
      <c r="D3" s="330"/>
      <c r="E3" s="330"/>
      <c r="F3" s="330"/>
      <c r="G3" s="330"/>
      <c r="H3" s="330"/>
      <c r="I3" s="330"/>
      <c r="K3" s="175" t="s">
        <v>701</v>
      </c>
      <c r="L3" s="155"/>
      <c r="M3" s="155"/>
      <c r="N3" s="175">
        <f>E59</f>
        <v>0</v>
      </c>
    </row>
    <row r="4" spans="1:21" ht="7.5" customHeight="1" x14ac:dyDescent="0.35">
      <c r="A4" s="833"/>
      <c r="B4" s="330"/>
      <c r="C4" s="988" t="s">
        <v>939</v>
      </c>
      <c r="D4" s="989"/>
      <c r="E4" s="989"/>
      <c r="F4" s="989"/>
      <c r="G4" s="989"/>
      <c r="H4" s="990"/>
      <c r="I4" s="330"/>
      <c r="K4" s="175"/>
      <c r="L4" s="155"/>
      <c r="M4" s="155"/>
      <c r="N4" s="175"/>
    </row>
    <row r="5" spans="1:21" ht="63.75" customHeight="1" x14ac:dyDescent="0.35">
      <c r="A5" s="833"/>
      <c r="B5" s="330"/>
      <c r="C5" s="991"/>
      <c r="D5" s="992"/>
      <c r="E5" s="992"/>
      <c r="F5" s="992"/>
      <c r="G5" s="992"/>
      <c r="H5" s="993"/>
      <c r="I5" s="330"/>
      <c r="K5" s="175"/>
      <c r="L5" s="155"/>
      <c r="M5" s="155"/>
      <c r="N5" s="175"/>
    </row>
    <row r="6" spans="1:21" ht="7.5" customHeight="1" x14ac:dyDescent="0.35">
      <c r="A6" s="833"/>
      <c r="B6" s="330"/>
      <c r="C6" s="330"/>
      <c r="D6" s="330"/>
      <c r="E6" s="330"/>
      <c r="F6" s="330"/>
      <c r="G6" s="330"/>
      <c r="H6" s="330"/>
      <c r="I6" s="330"/>
      <c r="K6" s="175"/>
      <c r="L6" s="155"/>
      <c r="M6" s="155"/>
      <c r="N6" s="175"/>
    </row>
    <row r="7" spans="1:21" ht="16.5" customHeight="1" thickBot="1" x14ac:dyDescent="0.4">
      <c r="A7" s="833"/>
      <c r="B7" s="330"/>
      <c r="C7" s="330"/>
      <c r="D7" s="330" t="s">
        <v>600</v>
      </c>
      <c r="E7" s="330"/>
      <c r="F7" s="330"/>
      <c r="G7" s="343" t="s">
        <v>599</v>
      </c>
      <c r="H7" s="343" t="s">
        <v>601</v>
      </c>
      <c r="I7" s="330"/>
      <c r="K7" s="175"/>
      <c r="L7" s="155"/>
      <c r="M7" s="155"/>
      <c r="N7" s="175"/>
    </row>
    <row r="8" spans="1:21" ht="15" thickBot="1" x14ac:dyDescent="0.4">
      <c r="A8" s="833"/>
      <c r="B8" s="242"/>
      <c r="C8" s="546" t="s">
        <v>602</v>
      </c>
      <c r="D8" s="547"/>
      <c r="E8" s="547"/>
      <c r="F8" s="548"/>
      <c r="G8" s="429" t="s">
        <v>604</v>
      </c>
      <c r="H8" s="431">
        <f>ROUND(IS*0.5,2)</f>
        <v>0</v>
      </c>
      <c r="I8" s="432"/>
    </row>
    <row r="9" spans="1:21" s="234" customFormat="1" ht="15" customHeight="1" thickBot="1" x14ac:dyDescent="0.35">
      <c r="A9" s="833"/>
      <c r="B9" s="242"/>
      <c r="C9" s="546" t="s">
        <v>603</v>
      </c>
      <c r="D9" s="547"/>
      <c r="E9" s="547"/>
      <c r="F9" s="548"/>
      <c r="G9" s="429" t="s">
        <v>627</v>
      </c>
      <c r="H9" s="431">
        <f>ROUND(IS*0.65,2)</f>
        <v>0</v>
      </c>
      <c r="I9" s="432"/>
    </row>
    <row r="10" spans="1:21" s="234" customFormat="1" ht="15" customHeight="1" thickBot="1" x14ac:dyDescent="0.35">
      <c r="A10" s="833"/>
      <c r="B10" s="242"/>
      <c r="C10" s="546" t="s">
        <v>605</v>
      </c>
      <c r="D10" s="547"/>
      <c r="E10" s="547"/>
      <c r="F10" s="548"/>
      <c r="G10" s="429" t="s">
        <v>606</v>
      </c>
      <c r="H10" s="431">
        <f>ROUND(IS*0.8,2)</f>
        <v>0</v>
      </c>
      <c r="I10" s="432"/>
      <c r="K10" s="433"/>
      <c r="M10" s="434"/>
    </row>
    <row r="11" spans="1:21" s="234" customFormat="1" ht="15" customHeight="1" thickBot="1" x14ac:dyDescent="0.35">
      <c r="A11" s="833"/>
      <c r="B11" s="242"/>
      <c r="C11" s="546" t="s">
        <v>1113</v>
      </c>
      <c r="D11" s="547"/>
      <c r="E11" s="547"/>
      <c r="F11" s="548"/>
      <c r="G11" s="429" t="s">
        <v>1116</v>
      </c>
      <c r="H11" s="431">
        <f>ROUND(H10*0.667,2)</f>
        <v>0</v>
      </c>
      <c r="I11" s="432"/>
      <c r="K11" s="433"/>
      <c r="M11" s="434"/>
      <c r="P11" s="433"/>
      <c r="Q11" s="433"/>
      <c r="R11" s="433"/>
      <c r="S11" s="433"/>
      <c r="T11" s="433"/>
      <c r="U11" s="433"/>
    </row>
    <row r="12" spans="1:21" s="234" customFormat="1" ht="15" customHeight="1" thickBot="1" x14ac:dyDescent="0.35">
      <c r="A12" s="833"/>
      <c r="B12" s="336"/>
      <c r="C12" s="546" t="s">
        <v>612</v>
      </c>
      <c r="D12" s="547"/>
      <c r="E12" s="547"/>
      <c r="F12" s="548"/>
      <c r="G12" s="429" t="s">
        <v>613</v>
      </c>
      <c r="H12" s="431">
        <f>ROUND(IS*0.8+0.15*IS,2)</f>
        <v>0</v>
      </c>
      <c r="I12" s="336"/>
      <c r="K12" s="433"/>
      <c r="M12" s="434"/>
      <c r="P12" s="433"/>
      <c r="Q12" s="433"/>
      <c r="R12" s="433"/>
      <c r="S12" s="433"/>
      <c r="T12" s="433"/>
      <c r="U12" s="433"/>
    </row>
    <row r="13" spans="1:21" s="234" customFormat="1" ht="15" customHeight="1" thickBot="1" x14ac:dyDescent="0.35">
      <c r="A13" s="833"/>
      <c r="B13" s="336"/>
      <c r="C13" s="546" t="s">
        <v>607</v>
      </c>
      <c r="D13" s="547"/>
      <c r="E13" s="547"/>
      <c r="F13" s="548"/>
      <c r="G13" s="429" t="s">
        <v>608</v>
      </c>
      <c r="H13" s="431">
        <f>ROUND(IS*1,2)</f>
        <v>0</v>
      </c>
      <c r="I13" s="336"/>
      <c r="K13" s="433"/>
      <c r="M13" s="434"/>
      <c r="P13" s="433"/>
      <c r="Q13" s="433"/>
      <c r="R13" s="433"/>
      <c r="S13" s="433"/>
      <c r="T13" s="433"/>
      <c r="U13" s="433"/>
    </row>
    <row r="14" spans="1:21" s="234" customFormat="1" ht="15" customHeight="1" thickBot="1" x14ac:dyDescent="0.35">
      <c r="A14" s="833"/>
      <c r="B14" s="336"/>
      <c r="C14" s="546" t="s">
        <v>1114</v>
      </c>
      <c r="D14" s="547"/>
      <c r="E14" s="547"/>
      <c r="F14" s="548"/>
      <c r="G14" s="429" t="s">
        <v>1115</v>
      </c>
      <c r="H14" s="431">
        <f>ROUND(H13*0.667,2)</f>
        <v>0</v>
      </c>
      <c r="I14" s="336"/>
      <c r="K14" s="433"/>
      <c r="M14" s="434"/>
      <c r="P14" s="433"/>
      <c r="Q14" s="433"/>
      <c r="R14" s="433"/>
      <c r="S14" s="433"/>
      <c r="T14" s="433"/>
      <c r="U14" s="433"/>
    </row>
    <row r="15" spans="1:21" s="234" customFormat="1" ht="15" customHeight="1" thickBot="1" x14ac:dyDescent="0.35">
      <c r="A15" s="833"/>
      <c r="B15" s="336"/>
      <c r="C15" s="546" t="s">
        <v>946</v>
      </c>
      <c r="D15" s="547"/>
      <c r="E15" s="547"/>
      <c r="F15" s="548"/>
      <c r="G15" s="429" t="s">
        <v>947</v>
      </c>
      <c r="H15" s="431">
        <f>ROUND(IS*1.15,2)</f>
        <v>0</v>
      </c>
      <c r="I15" s="336"/>
      <c r="K15" s="433"/>
      <c r="L15" s="433"/>
      <c r="M15" s="435"/>
      <c r="N15" s="433"/>
      <c r="O15" s="433"/>
      <c r="P15" s="433"/>
      <c r="Q15" s="433"/>
      <c r="R15" s="433"/>
      <c r="S15" s="433"/>
      <c r="T15" s="433"/>
      <c r="U15" s="433"/>
    </row>
    <row r="16" spans="1:21" s="234" customFormat="1" ht="15" customHeight="1" thickBot="1" x14ac:dyDescent="0.35">
      <c r="A16" s="833"/>
      <c r="B16" s="336"/>
      <c r="C16" s="546" t="s">
        <v>609</v>
      </c>
      <c r="D16" s="547"/>
      <c r="E16" s="547"/>
      <c r="F16" s="548"/>
      <c r="G16" s="429" t="s">
        <v>835</v>
      </c>
      <c r="H16" s="431">
        <f>ROUND(IS*1.25,2)</f>
        <v>0</v>
      </c>
      <c r="I16" s="336"/>
      <c r="P16" s="433"/>
      <c r="Q16" s="433"/>
      <c r="R16" s="433"/>
      <c r="S16" s="433"/>
      <c r="T16" s="433"/>
      <c r="U16" s="433"/>
    </row>
    <row r="17" spans="1:21" s="234" customFormat="1" ht="15" customHeight="1" thickBot="1" x14ac:dyDescent="0.35">
      <c r="A17" s="833"/>
      <c r="B17" s="336"/>
      <c r="C17" s="546" t="s">
        <v>1109</v>
      </c>
      <c r="D17" s="547"/>
      <c r="E17" s="547"/>
      <c r="F17" s="548"/>
      <c r="G17" s="429" t="s">
        <v>833</v>
      </c>
      <c r="H17" s="431">
        <f>ROUND(IS*1+H23+H24,2)</f>
        <v>0</v>
      </c>
      <c r="I17" s="336"/>
      <c r="K17" s="433"/>
      <c r="L17" s="433"/>
      <c r="M17" s="436"/>
      <c r="N17" s="433"/>
      <c r="O17" s="433"/>
      <c r="P17" s="433"/>
      <c r="Q17" s="433"/>
      <c r="R17" s="433"/>
      <c r="S17" s="433"/>
      <c r="T17" s="433"/>
      <c r="U17" s="433"/>
    </row>
    <row r="18" spans="1:21" s="234" customFormat="1" ht="15" customHeight="1" thickBot="1" x14ac:dyDescent="0.35">
      <c r="A18" s="833"/>
      <c r="B18" s="336"/>
      <c r="C18" s="546" t="s">
        <v>1110</v>
      </c>
      <c r="D18" s="547"/>
      <c r="E18" s="547"/>
      <c r="F18" s="548"/>
      <c r="G18" s="429" t="s">
        <v>834</v>
      </c>
      <c r="H18" s="431">
        <f>ROUND(IS*1.6+H23,2)</f>
        <v>0</v>
      </c>
      <c r="I18" s="336"/>
      <c r="K18" s="433"/>
      <c r="L18" s="433"/>
      <c r="M18" s="436"/>
      <c r="N18" s="433"/>
      <c r="O18" s="433"/>
      <c r="P18" s="433"/>
      <c r="Q18" s="433"/>
      <c r="R18" s="433"/>
      <c r="S18" s="433"/>
      <c r="T18" s="433"/>
      <c r="U18" s="433"/>
    </row>
    <row r="19" spans="1:21" s="234" customFormat="1" ht="15" customHeight="1" thickBot="1" x14ac:dyDescent="0.35">
      <c r="A19" s="833"/>
      <c r="B19" s="336"/>
      <c r="C19" s="546" t="s">
        <v>1111</v>
      </c>
      <c r="D19" s="547"/>
      <c r="E19" s="547"/>
      <c r="F19" s="548"/>
      <c r="G19" s="429" t="s">
        <v>1117</v>
      </c>
      <c r="H19" s="431">
        <f>ROUND(IS*1*0.667,2)</f>
        <v>0</v>
      </c>
      <c r="I19" s="336"/>
      <c r="K19" s="433"/>
      <c r="L19" s="433"/>
      <c r="M19" s="436"/>
      <c r="N19" s="433"/>
      <c r="O19" s="433"/>
      <c r="P19" s="433"/>
      <c r="Q19" s="433"/>
      <c r="R19" s="433"/>
      <c r="S19" s="433"/>
      <c r="T19" s="433"/>
      <c r="U19" s="433"/>
    </row>
    <row r="20" spans="1:21" s="234" customFormat="1" ht="15" customHeight="1" thickBot="1" x14ac:dyDescent="0.35">
      <c r="A20" s="833"/>
      <c r="B20" s="336"/>
      <c r="C20" s="546" t="s">
        <v>1112</v>
      </c>
      <c r="D20" s="547"/>
      <c r="E20" s="547"/>
      <c r="F20" s="548"/>
      <c r="G20" s="429" t="s">
        <v>1118</v>
      </c>
      <c r="H20" s="431">
        <f>ROUND(IS*1.6*0.667,2)</f>
        <v>0</v>
      </c>
      <c r="I20" s="336"/>
      <c r="K20" s="433"/>
      <c r="L20" s="433"/>
      <c r="M20" s="436"/>
      <c r="N20" s="433"/>
      <c r="O20" s="433"/>
      <c r="P20" s="433"/>
      <c r="Q20" s="433"/>
      <c r="R20" s="433"/>
      <c r="S20" s="433"/>
      <c r="T20" s="433"/>
      <c r="U20" s="433"/>
    </row>
    <row r="21" spans="1:21" s="234" customFormat="1" ht="15" customHeight="1" thickBot="1" x14ac:dyDescent="0.35">
      <c r="A21" s="833"/>
      <c r="B21" s="336"/>
      <c r="C21" s="546" t="s">
        <v>1107</v>
      </c>
      <c r="D21" s="547"/>
      <c r="E21" s="547"/>
      <c r="F21" s="548"/>
      <c r="G21" s="429" t="s">
        <v>1119</v>
      </c>
      <c r="H21" s="431">
        <f>ROUND(IS*1+H23+20*H26,2)</f>
        <v>13</v>
      </c>
      <c r="I21" s="336"/>
      <c r="K21" s="433"/>
      <c r="L21" s="433"/>
      <c r="M21" s="436"/>
      <c r="N21" s="433"/>
      <c r="O21" s="433"/>
      <c r="P21" s="433"/>
      <c r="Q21" s="433"/>
      <c r="R21" s="433"/>
      <c r="S21" s="433"/>
      <c r="T21" s="433"/>
      <c r="U21" s="433"/>
    </row>
    <row r="22" spans="1:21" s="234" customFormat="1" ht="15" customHeight="1" thickBot="1" x14ac:dyDescent="0.35">
      <c r="A22" s="833"/>
      <c r="B22" s="336"/>
      <c r="C22" s="546" t="s">
        <v>1108</v>
      </c>
      <c r="D22" s="547"/>
      <c r="E22" s="547"/>
      <c r="F22" s="548"/>
      <c r="G22" s="429" t="s">
        <v>1120</v>
      </c>
      <c r="H22" s="431">
        <f>ROUND(IS*1.6+H23+20*H26,2)</f>
        <v>13</v>
      </c>
      <c r="I22" s="336"/>
      <c r="K22" s="433"/>
      <c r="L22" s="433"/>
      <c r="M22" s="436"/>
      <c r="N22" s="433"/>
      <c r="O22" s="433"/>
      <c r="P22" s="433"/>
      <c r="Q22" s="433"/>
      <c r="R22" s="433"/>
      <c r="S22" s="433"/>
      <c r="T22" s="433"/>
      <c r="U22" s="433"/>
    </row>
    <row r="23" spans="1:21" s="234" customFormat="1" ht="15" customHeight="1" thickBot="1" x14ac:dyDescent="0.35">
      <c r="A23" s="833"/>
      <c r="B23" s="336"/>
      <c r="C23" s="546" t="s">
        <v>831</v>
      </c>
      <c r="D23" s="547"/>
      <c r="E23" s="547"/>
      <c r="F23" s="548"/>
      <c r="G23" s="429" t="s">
        <v>830</v>
      </c>
      <c r="H23" s="431">
        <f>ROUND(0.15*IS,2)</f>
        <v>0</v>
      </c>
      <c r="I23" s="336"/>
      <c r="K23" s="433"/>
      <c r="L23" s="433"/>
      <c r="M23" s="436"/>
      <c r="N23" s="433"/>
      <c r="O23" s="433"/>
      <c r="P23" s="433"/>
      <c r="Q23" s="433"/>
      <c r="R23" s="433"/>
      <c r="S23" s="433"/>
      <c r="T23" s="433"/>
      <c r="U23" s="433"/>
    </row>
    <row r="24" spans="1:21" s="234" customFormat="1" ht="15" customHeight="1" thickBot="1" x14ac:dyDescent="0.35">
      <c r="A24" s="833"/>
      <c r="B24" s="336"/>
      <c r="C24" s="546" t="s">
        <v>829</v>
      </c>
      <c r="D24" s="547"/>
      <c r="E24" s="547"/>
      <c r="F24" s="548"/>
      <c r="G24" s="429" t="s">
        <v>832</v>
      </c>
      <c r="H24" s="431">
        <f>ROUND(0.05*IS,2)</f>
        <v>0</v>
      </c>
      <c r="I24" s="336"/>
      <c r="K24" s="433"/>
      <c r="L24" s="433"/>
      <c r="M24" s="436"/>
      <c r="N24" s="433"/>
      <c r="O24" s="433"/>
      <c r="P24" s="433"/>
      <c r="Q24" s="433"/>
      <c r="R24" s="433"/>
      <c r="S24" s="433"/>
      <c r="T24" s="433"/>
      <c r="U24" s="433"/>
    </row>
    <row r="25" spans="1:21" s="234" customFormat="1" ht="15" customHeight="1" thickBot="1" x14ac:dyDescent="0.35">
      <c r="A25" s="833"/>
      <c r="B25" s="336"/>
      <c r="C25" s="546" t="s">
        <v>942</v>
      </c>
      <c r="D25" s="547"/>
      <c r="E25" s="547"/>
      <c r="F25" s="548"/>
      <c r="G25" s="429" t="s">
        <v>943</v>
      </c>
      <c r="H25" s="431">
        <v>0.5</v>
      </c>
      <c r="I25" s="336"/>
      <c r="K25" s="433"/>
      <c r="L25" s="433"/>
      <c r="M25" s="436"/>
      <c r="N25" s="433"/>
      <c r="O25" s="433"/>
      <c r="P25" s="433"/>
      <c r="Q25" s="433"/>
      <c r="R25" s="433"/>
      <c r="S25" s="433"/>
      <c r="T25" s="433"/>
      <c r="U25" s="433"/>
    </row>
    <row r="26" spans="1:21" s="234" customFormat="1" ht="15" customHeight="1" thickBot="1" x14ac:dyDescent="0.35">
      <c r="A26" s="833"/>
      <c r="B26" s="336"/>
      <c r="C26" s="546" t="s">
        <v>1155</v>
      </c>
      <c r="D26" s="547"/>
      <c r="E26" s="547"/>
      <c r="F26" s="548"/>
      <c r="G26" s="429" t="s">
        <v>944</v>
      </c>
      <c r="H26" s="431">
        <v>0.65</v>
      </c>
      <c r="I26" s="336"/>
      <c r="K26" s="433"/>
      <c r="L26" s="433"/>
      <c r="M26" s="436"/>
      <c r="N26" s="433"/>
      <c r="O26" s="433"/>
      <c r="P26" s="433"/>
      <c r="Q26" s="433"/>
      <c r="R26" s="433"/>
      <c r="S26" s="433"/>
      <c r="T26" s="433"/>
      <c r="U26" s="433"/>
    </row>
    <row r="27" spans="1:21" s="234" customFormat="1" ht="15" customHeight="1" thickBot="1" x14ac:dyDescent="0.35">
      <c r="A27" s="833"/>
      <c r="B27" s="336"/>
      <c r="C27" s="546" t="s">
        <v>941</v>
      </c>
      <c r="D27" s="547"/>
      <c r="E27" s="547"/>
      <c r="F27" s="548"/>
      <c r="G27" s="429" t="s">
        <v>945</v>
      </c>
      <c r="H27" s="431">
        <v>1</v>
      </c>
      <c r="I27" s="336"/>
      <c r="K27" s="433"/>
      <c r="L27" s="433"/>
      <c r="M27" s="436"/>
      <c r="N27" s="433"/>
      <c r="O27" s="433"/>
      <c r="P27" s="433"/>
      <c r="Q27" s="433"/>
      <c r="R27" s="433"/>
      <c r="S27" s="433"/>
      <c r="T27" s="433"/>
      <c r="U27" s="433"/>
    </row>
    <row r="28" spans="1:21" s="234" customFormat="1" ht="15" customHeight="1" x14ac:dyDescent="0.3">
      <c r="A28" s="833"/>
      <c r="B28" s="336"/>
      <c r="C28" s="336"/>
      <c r="D28" s="336"/>
      <c r="E28" s="336"/>
      <c r="F28" s="336"/>
      <c r="G28" s="336"/>
      <c r="H28" s="336"/>
      <c r="I28" s="336"/>
      <c r="K28" s="433"/>
      <c r="L28" s="433"/>
      <c r="M28" s="436"/>
      <c r="N28" s="433"/>
      <c r="O28" s="433"/>
      <c r="P28" s="433"/>
      <c r="Q28" s="433"/>
      <c r="R28" s="433"/>
      <c r="S28" s="433"/>
      <c r="T28" s="433"/>
      <c r="U28" s="433"/>
    </row>
    <row r="29" spans="1:21" s="234" customFormat="1" ht="15" customHeight="1" x14ac:dyDescent="0.3">
      <c r="A29" s="833"/>
      <c r="B29" s="336"/>
      <c r="C29" s="336"/>
      <c r="D29" s="336"/>
      <c r="E29" s="336"/>
      <c r="F29" s="336"/>
      <c r="G29" s="336"/>
      <c r="H29" s="336"/>
      <c r="I29" s="336"/>
      <c r="K29" s="433"/>
      <c r="L29" s="433"/>
      <c r="M29" s="436"/>
      <c r="N29" s="433"/>
      <c r="O29" s="433"/>
      <c r="P29" s="433"/>
      <c r="Q29" s="433"/>
      <c r="R29" s="433"/>
      <c r="S29" s="433"/>
      <c r="T29" s="433"/>
      <c r="U29" s="433"/>
    </row>
    <row r="30" spans="1:21" s="234" customFormat="1" ht="15" customHeight="1" thickBot="1" x14ac:dyDescent="0.35">
      <c r="A30" s="833"/>
      <c r="B30" s="336"/>
      <c r="C30" s="336" t="s">
        <v>618</v>
      </c>
      <c r="D30" s="336" t="s">
        <v>619</v>
      </c>
      <c r="E30" s="437" t="s">
        <v>617</v>
      </c>
      <c r="F30" s="437" t="s">
        <v>620</v>
      </c>
      <c r="G30" s="437" t="s">
        <v>601</v>
      </c>
      <c r="H30" s="437" t="s">
        <v>616</v>
      </c>
      <c r="I30" s="336"/>
      <c r="K30" s="433"/>
      <c r="L30" s="433"/>
      <c r="M30" s="436"/>
      <c r="N30" s="433"/>
      <c r="O30" s="433"/>
      <c r="P30" s="433"/>
      <c r="Q30" s="433"/>
      <c r="R30" s="433"/>
      <c r="S30" s="433"/>
      <c r="T30" s="433"/>
      <c r="U30" s="433"/>
    </row>
    <row r="31" spans="1:21" s="234" customFormat="1" ht="15" customHeight="1" thickBot="1" x14ac:dyDescent="0.35">
      <c r="A31" s="833"/>
      <c r="B31" s="63"/>
      <c r="C31" s="445"/>
      <c r="D31" s="449"/>
      <c r="E31" s="430"/>
      <c r="F31" s="430"/>
      <c r="G31" s="448" t="str">
        <f t="shared" ref="G31:G53" si="0">IF(E31&lt;&gt;"",VLOOKUP(E31,G$8:H$22,2,FALSE),"")</f>
        <v/>
      </c>
      <c r="H31" s="448" t="str">
        <f t="shared" ref="H31:H53" si="1">IF(AND(E31&lt;&gt;"",F31&lt;&gt;"",F31&gt;0),F31*G31,"")</f>
        <v/>
      </c>
      <c r="I31" s="64"/>
      <c r="K31" s="433"/>
      <c r="L31" s="433"/>
      <c r="M31" s="436"/>
      <c r="N31" s="433"/>
      <c r="O31" s="433"/>
      <c r="P31" s="433"/>
    </row>
    <row r="32" spans="1:21" ht="16" thickBot="1" x14ac:dyDescent="0.4">
      <c r="A32" s="833"/>
      <c r="B32" s="330"/>
      <c r="C32" s="445"/>
      <c r="D32" s="449"/>
      <c r="E32" s="430"/>
      <c r="F32" s="430"/>
      <c r="G32" s="448" t="str">
        <f t="shared" si="0"/>
        <v/>
      </c>
      <c r="H32" s="448" t="str">
        <f t="shared" si="1"/>
        <v/>
      </c>
      <c r="I32" s="330"/>
      <c r="K32" s="254"/>
      <c r="L32" s="254"/>
      <c r="M32" s="332"/>
      <c r="N32" s="254"/>
      <c r="O32" s="254"/>
      <c r="P32" s="254"/>
    </row>
    <row r="33" spans="1:16" ht="16" thickBot="1" x14ac:dyDescent="0.4">
      <c r="A33" s="833"/>
      <c r="B33" s="330"/>
      <c r="C33" s="445"/>
      <c r="D33" s="449"/>
      <c r="E33" s="430"/>
      <c r="F33" s="430"/>
      <c r="G33" s="448" t="str">
        <f t="shared" si="0"/>
        <v/>
      </c>
      <c r="H33" s="448" t="str">
        <f t="shared" si="1"/>
        <v/>
      </c>
      <c r="I33" s="330"/>
      <c r="K33" s="254"/>
      <c r="L33" s="254"/>
      <c r="M33" s="332"/>
      <c r="N33" s="254"/>
      <c r="O33" s="254"/>
      <c r="P33" s="254"/>
    </row>
    <row r="34" spans="1:16" ht="16" thickBot="1" x14ac:dyDescent="0.4">
      <c r="A34" s="833"/>
      <c r="B34" s="330"/>
      <c r="C34" s="445"/>
      <c r="D34" s="449"/>
      <c r="E34" s="430"/>
      <c r="F34" s="430"/>
      <c r="G34" s="448" t="str">
        <f t="shared" si="0"/>
        <v/>
      </c>
      <c r="H34" s="448" t="str">
        <f t="shared" si="1"/>
        <v/>
      </c>
      <c r="I34" s="330"/>
      <c r="K34" s="254"/>
      <c r="L34" s="254"/>
      <c r="M34" s="332"/>
      <c r="N34" s="254"/>
      <c r="O34" s="254"/>
      <c r="P34" s="254"/>
    </row>
    <row r="35" spans="1:16" ht="16" thickBot="1" x14ac:dyDescent="0.4">
      <c r="A35" s="833"/>
      <c r="B35" s="330"/>
      <c r="C35" s="445"/>
      <c r="D35" s="449"/>
      <c r="E35" s="430"/>
      <c r="F35" s="430"/>
      <c r="G35" s="448" t="str">
        <f t="shared" si="0"/>
        <v/>
      </c>
      <c r="H35" s="448" t="str">
        <f t="shared" si="1"/>
        <v/>
      </c>
      <c r="I35" s="330"/>
      <c r="K35" s="254"/>
      <c r="L35" s="254"/>
      <c r="M35" s="332"/>
      <c r="N35" s="254"/>
      <c r="O35" s="254"/>
      <c r="P35" s="254"/>
    </row>
    <row r="36" spans="1:16" ht="16" thickBot="1" x14ac:dyDescent="0.4">
      <c r="A36" s="833"/>
      <c r="B36" s="330"/>
      <c r="C36" s="445"/>
      <c r="D36" s="449"/>
      <c r="E36" s="430"/>
      <c r="F36" s="430"/>
      <c r="G36" s="448" t="str">
        <f t="shared" si="0"/>
        <v/>
      </c>
      <c r="H36" s="448" t="str">
        <f t="shared" si="1"/>
        <v/>
      </c>
      <c r="I36" s="330"/>
      <c r="K36" s="254"/>
      <c r="L36" s="254"/>
      <c r="M36" s="332"/>
      <c r="N36" s="254"/>
      <c r="O36" s="254"/>
      <c r="P36" s="254"/>
    </row>
    <row r="37" spans="1:16" ht="16" thickBot="1" x14ac:dyDescent="0.4">
      <c r="A37" s="833"/>
      <c r="B37" s="330"/>
      <c r="C37" s="445"/>
      <c r="D37" s="449"/>
      <c r="E37" s="430"/>
      <c r="F37" s="430"/>
      <c r="G37" s="448" t="str">
        <f t="shared" si="0"/>
        <v/>
      </c>
      <c r="H37" s="448" t="str">
        <f t="shared" si="1"/>
        <v/>
      </c>
      <c r="I37" s="330"/>
      <c r="K37" s="254"/>
      <c r="L37" s="254"/>
      <c r="M37" s="332"/>
      <c r="N37" s="254"/>
      <c r="O37" s="254"/>
      <c r="P37" s="254"/>
    </row>
    <row r="38" spans="1:16" ht="16" thickBot="1" x14ac:dyDescent="0.4">
      <c r="A38" s="833"/>
      <c r="B38" s="330"/>
      <c r="C38" s="445"/>
      <c r="D38" s="449"/>
      <c r="E38" s="430"/>
      <c r="F38" s="430"/>
      <c r="G38" s="448" t="str">
        <f t="shared" si="0"/>
        <v/>
      </c>
      <c r="H38" s="448" t="str">
        <f t="shared" si="1"/>
        <v/>
      </c>
      <c r="I38" s="330"/>
      <c r="K38" s="254"/>
      <c r="L38" s="254"/>
      <c r="M38" s="332"/>
      <c r="N38" s="254"/>
      <c r="O38" s="254"/>
      <c r="P38" s="254"/>
    </row>
    <row r="39" spans="1:16" ht="16" thickBot="1" x14ac:dyDescent="0.4">
      <c r="A39" s="833"/>
      <c r="B39" s="330"/>
      <c r="C39" s="445"/>
      <c r="D39" s="449"/>
      <c r="E39" s="430"/>
      <c r="F39" s="430"/>
      <c r="G39" s="448" t="str">
        <f t="shared" si="0"/>
        <v/>
      </c>
      <c r="H39" s="448" t="str">
        <f t="shared" si="1"/>
        <v/>
      </c>
      <c r="I39" s="330"/>
      <c r="K39" s="254"/>
      <c r="L39" s="254"/>
      <c r="M39" s="332"/>
      <c r="N39" s="254"/>
      <c r="O39" s="254"/>
      <c r="P39" s="254"/>
    </row>
    <row r="40" spans="1:16" ht="16" thickBot="1" x14ac:dyDescent="0.4">
      <c r="A40" s="833"/>
      <c r="B40" s="330"/>
      <c r="C40" s="445"/>
      <c r="D40" s="449"/>
      <c r="E40" s="430"/>
      <c r="F40" s="430"/>
      <c r="G40" s="448" t="str">
        <f t="shared" si="0"/>
        <v/>
      </c>
      <c r="H40" s="448" t="str">
        <f t="shared" si="1"/>
        <v/>
      </c>
      <c r="I40" s="330"/>
      <c r="K40" s="254"/>
      <c r="L40" s="254"/>
      <c r="M40" s="332"/>
      <c r="N40" s="254"/>
      <c r="O40" s="254"/>
      <c r="P40" s="254"/>
    </row>
    <row r="41" spans="1:16" ht="16" thickBot="1" x14ac:dyDescent="0.4">
      <c r="A41" s="833"/>
      <c r="B41" s="330"/>
      <c r="C41" s="445"/>
      <c r="D41" s="449"/>
      <c r="E41" s="430"/>
      <c r="F41" s="430"/>
      <c r="G41" s="448" t="str">
        <f t="shared" si="0"/>
        <v/>
      </c>
      <c r="H41" s="448" t="str">
        <f t="shared" si="1"/>
        <v/>
      </c>
      <c r="I41" s="330"/>
      <c r="K41" s="254"/>
      <c r="L41" s="254"/>
      <c r="M41" s="332"/>
      <c r="N41" s="254"/>
      <c r="O41" s="254"/>
      <c r="P41" s="254"/>
    </row>
    <row r="42" spans="1:16" ht="16" thickBot="1" x14ac:dyDescent="0.4">
      <c r="A42" s="833"/>
      <c r="B42" s="330"/>
      <c r="C42" s="445"/>
      <c r="D42" s="449"/>
      <c r="E42" s="430"/>
      <c r="F42" s="430"/>
      <c r="G42" s="448" t="str">
        <f t="shared" si="0"/>
        <v/>
      </c>
      <c r="H42" s="448" t="str">
        <f t="shared" si="1"/>
        <v/>
      </c>
      <c r="I42" s="330"/>
      <c r="K42" s="254"/>
      <c r="L42" s="254"/>
      <c r="M42" s="332"/>
      <c r="N42" s="254"/>
      <c r="O42" s="254"/>
      <c r="P42" s="254"/>
    </row>
    <row r="43" spans="1:16" ht="16" thickBot="1" x14ac:dyDescent="0.4">
      <c r="A43" s="833"/>
      <c r="B43" s="330"/>
      <c r="C43" s="445"/>
      <c r="D43" s="449"/>
      <c r="E43" s="430"/>
      <c r="F43" s="430"/>
      <c r="G43" s="448" t="str">
        <f t="shared" si="0"/>
        <v/>
      </c>
      <c r="H43" s="448" t="str">
        <f t="shared" si="1"/>
        <v/>
      </c>
      <c r="I43" s="330"/>
      <c r="K43" s="254"/>
      <c r="L43" s="254"/>
      <c r="M43" s="332"/>
      <c r="N43" s="254"/>
      <c r="O43" s="254"/>
      <c r="P43" s="254"/>
    </row>
    <row r="44" spans="1:16" ht="16" thickBot="1" x14ac:dyDescent="0.4">
      <c r="A44" s="833"/>
      <c r="B44" s="330"/>
      <c r="C44" s="445"/>
      <c r="D44" s="449"/>
      <c r="E44" s="430"/>
      <c r="F44" s="430"/>
      <c r="G44" s="448" t="str">
        <f t="shared" si="0"/>
        <v/>
      </c>
      <c r="H44" s="448" t="str">
        <f t="shared" si="1"/>
        <v/>
      </c>
      <c r="I44" s="330"/>
      <c r="K44" s="254"/>
      <c r="L44" s="254"/>
      <c r="M44" s="332"/>
      <c r="N44" s="254"/>
      <c r="O44" s="254"/>
      <c r="P44" s="254"/>
    </row>
    <row r="45" spans="1:16" ht="16" thickBot="1" x14ac:dyDescent="0.4">
      <c r="A45" s="833"/>
      <c r="B45" s="330"/>
      <c r="C45" s="445"/>
      <c r="D45" s="449"/>
      <c r="E45" s="430"/>
      <c r="F45" s="430"/>
      <c r="G45" s="448" t="str">
        <f t="shared" si="0"/>
        <v/>
      </c>
      <c r="H45" s="448" t="str">
        <f t="shared" si="1"/>
        <v/>
      </c>
      <c r="I45" s="330"/>
      <c r="K45" s="254"/>
      <c r="L45" s="254"/>
      <c r="M45" s="332"/>
      <c r="N45" s="254"/>
      <c r="O45" s="254"/>
      <c r="P45" s="254"/>
    </row>
    <row r="46" spans="1:16" ht="16" thickBot="1" x14ac:dyDescent="0.4">
      <c r="A46" s="833"/>
      <c r="B46" s="330"/>
      <c r="C46" s="445"/>
      <c r="D46" s="449"/>
      <c r="E46" s="430"/>
      <c r="F46" s="430"/>
      <c r="G46" s="448" t="str">
        <f t="shared" si="0"/>
        <v/>
      </c>
      <c r="H46" s="448" t="str">
        <f t="shared" si="1"/>
        <v/>
      </c>
      <c r="I46" s="330"/>
      <c r="K46" s="254"/>
      <c r="L46" s="254"/>
      <c r="M46" s="332"/>
      <c r="N46" s="254"/>
      <c r="O46" s="254"/>
      <c r="P46" s="254"/>
    </row>
    <row r="47" spans="1:16" ht="16" thickBot="1" x14ac:dyDescent="0.4">
      <c r="A47" s="833"/>
      <c r="B47" s="330"/>
      <c r="C47" s="445"/>
      <c r="D47" s="449"/>
      <c r="E47" s="430"/>
      <c r="F47" s="430"/>
      <c r="G47" s="448" t="str">
        <f t="shared" si="0"/>
        <v/>
      </c>
      <c r="H47" s="448" t="str">
        <f t="shared" si="1"/>
        <v/>
      </c>
      <c r="I47" s="330"/>
      <c r="K47" s="254"/>
      <c r="L47" s="254"/>
      <c r="M47" s="332"/>
      <c r="N47" s="254"/>
      <c r="O47" s="254"/>
      <c r="P47" s="254"/>
    </row>
    <row r="48" spans="1:16" ht="16" thickBot="1" x14ac:dyDescent="0.4">
      <c r="A48" s="833"/>
      <c r="B48" s="330"/>
      <c r="C48" s="445"/>
      <c r="D48" s="449"/>
      <c r="E48" s="430"/>
      <c r="F48" s="430"/>
      <c r="G48" s="448" t="str">
        <f t="shared" si="0"/>
        <v/>
      </c>
      <c r="H48" s="448" t="str">
        <f t="shared" si="1"/>
        <v/>
      </c>
      <c r="I48" s="330"/>
      <c r="K48" s="254"/>
      <c r="L48" s="254"/>
      <c r="M48" s="332"/>
      <c r="N48" s="254"/>
      <c r="O48" s="254"/>
      <c r="P48" s="254"/>
    </row>
    <row r="49" spans="1:16" ht="16" thickBot="1" x14ac:dyDescent="0.4">
      <c r="A49" s="833"/>
      <c r="B49" s="330"/>
      <c r="C49" s="445"/>
      <c r="D49" s="449"/>
      <c r="E49" s="430"/>
      <c r="F49" s="430"/>
      <c r="G49" s="448" t="str">
        <f t="shared" si="0"/>
        <v/>
      </c>
      <c r="H49" s="448" t="str">
        <f t="shared" si="1"/>
        <v/>
      </c>
      <c r="I49" s="330"/>
      <c r="K49" s="254"/>
      <c r="L49" s="254"/>
      <c r="M49" s="332"/>
      <c r="N49" s="254"/>
      <c r="O49" s="254"/>
      <c r="P49" s="254"/>
    </row>
    <row r="50" spans="1:16" ht="16" thickBot="1" x14ac:dyDescent="0.4">
      <c r="A50" s="833"/>
      <c r="B50" s="330"/>
      <c r="C50" s="445"/>
      <c r="D50" s="449"/>
      <c r="E50" s="430"/>
      <c r="F50" s="430"/>
      <c r="G50" s="448" t="str">
        <f t="shared" si="0"/>
        <v/>
      </c>
      <c r="H50" s="448" t="str">
        <f t="shared" si="1"/>
        <v/>
      </c>
      <c r="I50" s="330"/>
      <c r="K50" s="254"/>
      <c r="L50" s="254"/>
      <c r="M50" s="332"/>
      <c r="N50" s="254"/>
      <c r="O50" s="254"/>
      <c r="P50" s="254"/>
    </row>
    <row r="51" spans="1:16" ht="16" thickBot="1" x14ac:dyDescent="0.4">
      <c r="A51" s="833"/>
      <c r="B51" s="330"/>
      <c r="C51" s="445"/>
      <c r="D51" s="449"/>
      <c r="E51" s="430"/>
      <c r="F51" s="430"/>
      <c r="G51" s="448" t="str">
        <f t="shared" si="0"/>
        <v/>
      </c>
      <c r="H51" s="448" t="str">
        <f t="shared" si="1"/>
        <v/>
      </c>
      <c r="I51" s="330"/>
      <c r="K51" s="254"/>
      <c r="L51" s="254"/>
      <c r="M51" s="332"/>
      <c r="N51" s="254"/>
      <c r="O51" s="254"/>
      <c r="P51" s="254"/>
    </row>
    <row r="52" spans="1:16" ht="16" thickBot="1" x14ac:dyDescent="0.4">
      <c r="A52" s="833"/>
      <c r="B52" s="330"/>
      <c r="C52" s="445"/>
      <c r="D52" s="449"/>
      <c r="E52" s="430"/>
      <c r="F52" s="430"/>
      <c r="G52" s="448" t="str">
        <f t="shared" si="0"/>
        <v/>
      </c>
      <c r="H52" s="448" t="str">
        <f t="shared" si="1"/>
        <v/>
      </c>
      <c r="I52" s="330"/>
      <c r="K52" s="254"/>
      <c r="L52" s="254"/>
      <c r="M52" s="332"/>
      <c r="N52" s="254"/>
      <c r="O52" s="254"/>
      <c r="P52" s="254"/>
    </row>
    <row r="53" spans="1:16" ht="16" thickBot="1" x14ac:dyDescent="0.4">
      <c r="A53" s="833"/>
      <c r="B53" s="330"/>
      <c r="C53" s="445"/>
      <c r="D53" s="449"/>
      <c r="E53" s="430"/>
      <c r="F53" s="430"/>
      <c r="G53" s="448" t="str">
        <f t="shared" si="0"/>
        <v/>
      </c>
      <c r="H53" s="448" t="str">
        <f t="shared" si="1"/>
        <v/>
      </c>
      <c r="I53" s="330"/>
      <c r="K53" s="254"/>
      <c r="L53" s="254"/>
      <c r="M53" s="332"/>
      <c r="N53" s="254"/>
      <c r="O53" s="254"/>
      <c r="P53" s="254"/>
    </row>
    <row r="54" spans="1:16" ht="9" customHeight="1" thickBot="1" x14ac:dyDescent="0.4">
      <c r="A54" s="833"/>
      <c r="B54" s="330"/>
      <c r="C54" s="330"/>
      <c r="D54" s="330"/>
      <c r="E54" s="330"/>
      <c r="F54" s="330"/>
      <c r="G54" s="330"/>
      <c r="H54" s="450" t="str">
        <f>IF(VSK&lt;&gt;0, SUM(H31:H53),"")</f>
        <v/>
      </c>
      <c r="I54" s="330"/>
      <c r="K54" s="254"/>
      <c r="L54" s="254"/>
      <c r="M54" s="332"/>
      <c r="N54" s="254"/>
      <c r="O54" s="254"/>
      <c r="P54" s="254"/>
    </row>
    <row r="55" spans="1:16" ht="15" customHeight="1" x14ac:dyDescent="0.35">
      <c r="A55" s="833"/>
      <c r="B55" s="46"/>
      <c r="C55" s="317"/>
      <c r="D55" s="318"/>
      <c r="E55" s="317"/>
      <c r="F55" s="592" t="s">
        <v>633</v>
      </c>
      <c r="G55" s="317"/>
      <c r="H55" s="319"/>
      <c r="I55" s="47"/>
      <c r="K55" s="254"/>
      <c r="L55" s="254"/>
      <c r="M55" s="332"/>
      <c r="N55" s="254"/>
      <c r="O55" s="254"/>
      <c r="P55" s="254"/>
    </row>
    <row r="56" spans="1:16" ht="15.5" x14ac:dyDescent="0.35">
      <c r="A56" s="833"/>
      <c r="B56" s="46"/>
      <c r="C56" s="47" t="s">
        <v>34</v>
      </c>
      <c r="D56" s="47"/>
      <c r="E56" s="320"/>
      <c r="F56" s="899"/>
      <c r="G56" s="900"/>
      <c r="H56" s="901"/>
      <c r="I56" s="47"/>
      <c r="K56" s="254"/>
      <c r="L56" s="254"/>
      <c r="M56" s="332"/>
      <c r="N56" s="254"/>
      <c r="O56" s="254"/>
      <c r="P56" s="254"/>
    </row>
    <row r="57" spans="1:16" ht="15.5" x14ac:dyDescent="0.35">
      <c r="A57" s="833"/>
      <c r="B57" s="46"/>
      <c r="C57" s="47" t="s">
        <v>722</v>
      </c>
      <c r="D57" s="47"/>
      <c r="E57" s="604"/>
      <c r="F57" s="868"/>
      <c r="G57" s="895"/>
      <c r="H57" s="869"/>
      <c r="I57" s="47"/>
      <c r="K57" s="254"/>
      <c r="L57" s="254"/>
      <c r="M57" s="254"/>
      <c r="N57" s="254"/>
      <c r="O57" s="254"/>
      <c r="P57" s="254"/>
    </row>
    <row r="58" spans="1:16" ht="9" customHeight="1" x14ac:dyDescent="0.35">
      <c r="A58" s="833"/>
      <c r="B58" s="46"/>
      <c r="C58" s="47"/>
      <c r="D58" s="47"/>
      <c r="E58" s="53"/>
      <c r="F58" s="47"/>
      <c r="G58" s="46"/>
      <c r="H58" s="46"/>
      <c r="I58" s="45"/>
    </row>
    <row r="59" spans="1:16" ht="17.25" customHeight="1" x14ac:dyDescent="0.5">
      <c r="A59" s="833"/>
      <c r="B59" s="45"/>
      <c r="C59" s="54" t="str">
        <f>IF(VSK=0, "UNVOLLSTÄNDIG AUSGEFÜLLT!","")</f>
        <v>UNVOLLSTÄNDIG AUSGEFÜLLT!</v>
      </c>
      <c r="D59" s="45"/>
      <c r="E59" s="438">
        <f>IF(SUM(H31:H53)&gt;0,1,0)</f>
        <v>0</v>
      </c>
      <c r="F59" s="45"/>
      <c r="G59" s="852" t="str">
        <f>IF(VSK&lt;&gt;0, G104,"")</f>
        <v/>
      </c>
      <c r="H59" s="852"/>
      <c r="I59" s="45"/>
    </row>
    <row r="60" spans="1:16" ht="15.5" x14ac:dyDescent="0.35">
      <c r="A60" s="833"/>
      <c r="B60" s="45"/>
      <c r="C60" s="45"/>
      <c r="D60" s="45"/>
      <c r="E60" s="45"/>
      <c r="F60" s="45"/>
      <c r="G60" s="45"/>
      <c r="H60" s="45"/>
      <c r="I60" s="45"/>
      <c r="P60" s="254"/>
    </row>
    <row r="61" spans="1:16" ht="15.5" x14ac:dyDescent="0.35">
      <c r="A61" s="833"/>
      <c r="I61" s="577" t="str">
        <f ca="1">IF(VLOOKUP(B67,CHOOSE({5,4,3,2,1},Gesamt!L32:L65,Gesamt!M32:M65,Gesamt!N32:N65,Gesamt!O32:O65,Gesamt!P32:P65,),4,0)&gt;0,CONCATENATE("Pos. ",VLOOKUP(B67,CHOOSE({5,4,3,2,1},Gesamt!L32:L65,Gesamt!M32:M65,Gesamt!N32:N65,Gesamt!O32:O65,Gesamt!P32:P65,),VLOOKUP(Gesamt!C19,Gesamt!L5:N7,3,0),0)),"")</f>
        <v/>
      </c>
    </row>
    <row r="62" spans="1:16" ht="15" customHeight="1" x14ac:dyDescent="0.35">
      <c r="A62" s="830" t="s">
        <v>66</v>
      </c>
      <c r="B62" s="831" t="str">
        <f>CONCATENATE(Gesamt!C2, ": ", Gesamt!E2)</f>
        <v xml:space="preserve">Projekt: </v>
      </c>
      <c r="C62" s="831"/>
      <c r="D62" s="831"/>
      <c r="E62" s="831"/>
      <c r="F62" s="831"/>
      <c r="G62" s="831"/>
      <c r="H62" s="831"/>
      <c r="I62" s="831"/>
    </row>
    <row r="63" spans="1:16" x14ac:dyDescent="0.35">
      <c r="A63" s="830"/>
      <c r="B63" s="832" t="str">
        <f>CONCATENATE(Gesamt!C4, ": ", Gesamt!E4, IF(Gesamt!E5&lt;&gt;""," - ",""), IF(Gesamt!E5&lt;&gt;"",Gesamt!E5,""), IF(Gesamt!E6&lt;&gt;""," - GZ. ",""), IF(Gesamt!E6&lt;&gt;"",Gesamt!E6,""),)</f>
        <v xml:space="preserve">Auftraggeber: </v>
      </c>
      <c r="C63" s="832"/>
      <c r="D63" s="832"/>
      <c r="E63" s="832"/>
      <c r="F63" s="832"/>
      <c r="G63" s="832"/>
      <c r="H63" s="832"/>
      <c r="I63" s="832"/>
    </row>
    <row r="64" spans="1:16" x14ac:dyDescent="0.35">
      <c r="A64" s="830"/>
      <c r="B64" s="832" t="str">
        <f>CONCATENATE(Gesamt!C9, ": ",Gesamt!E9,  IF(Gesamt!C10&lt;&gt;""," - ",""), IF(Gesamt!C10&lt;&gt;"",Gesamt!E10,""), IF(Gesamt!C11&lt;&gt;""," - GZ. ",""), IF(Gesamt!C11&lt;&gt;"",Gesamt!E11,""), )</f>
        <v xml:space="preserve">Bieter:  -  - GZ. </v>
      </c>
      <c r="C64" s="832"/>
      <c r="D64" s="832"/>
      <c r="E64" s="832"/>
      <c r="F64" s="832"/>
      <c r="G64" s="832"/>
      <c r="H64" s="832"/>
      <c r="I64" s="832"/>
    </row>
    <row r="65" spans="1:15" x14ac:dyDescent="0.35">
      <c r="A65" s="830"/>
      <c r="B65" s="832" t="s">
        <v>41</v>
      </c>
      <c r="C65" s="832"/>
      <c r="D65" s="832"/>
      <c r="E65" s="832"/>
      <c r="F65" s="832"/>
      <c r="G65" s="832"/>
      <c r="H65" s="832"/>
      <c r="I65" s="832"/>
    </row>
    <row r="66" spans="1:15" x14ac:dyDescent="0.35">
      <c r="A66" s="830"/>
    </row>
    <row r="67" spans="1:15" ht="18.5" x14ac:dyDescent="0.35">
      <c r="A67" s="830"/>
      <c r="B67" s="843" t="str">
        <f>C2</f>
        <v>Regieleistung  C</v>
      </c>
      <c r="C67" s="843"/>
      <c r="D67" s="843"/>
      <c r="E67" s="843"/>
      <c r="F67" s="843"/>
      <c r="G67" s="843"/>
      <c r="H67" s="843"/>
      <c r="I67" s="843"/>
    </row>
    <row r="68" spans="1:15" x14ac:dyDescent="0.35">
      <c r="A68" s="830"/>
    </row>
    <row r="69" spans="1:15" x14ac:dyDescent="0.35">
      <c r="A69" s="830"/>
      <c r="B69" s="708"/>
      <c r="C69" s="708" t="s">
        <v>698</v>
      </c>
      <c r="D69" s="708"/>
      <c r="E69" s="708"/>
      <c r="F69" s="708"/>
      <c r="G69" s="708"/>
      <c r="H69" s="708"/>
    </row>
    <row r="70" spans="1:15" ht="7.5" customHeight="1" x14ac:dyDescent="0.35">
      <c r="A70" s="830"/>
      <c r="B70" s="708"/>
      <c r="C70" s="708"/>
      <c r="D70" s="708"/>
      <c r="E70" s="708"/>
      <c r="F70" s="708"/>
      <c r="G70" s="708"/>
      <c r="H70" s="708"/>
    </row>
    <row r="71" spans="1:15" ht="17.25" customHeight="1" x14ac:dyDescent="0.35">
      <c r="A71" s="830"/>
      <c r="B71" s="708"/>
      <c r="C71" s="708" t="s">
        <v>959</v>
      </c>
      <c r="D71" s="708"/>
      <c r="E71" s="709">
        <f>IS</f>
        <v>0</v>
      </c>
      <c r="F71" s="708"/>
      <c r="G71" s="708"/>
      <c r="H71" s="708"/>
    </row>
    <row r="72" spans="1:15" ht="6.75" customHeight="1" x14ac:dyDescent="0.35">
      <c r="A72" s="830"/>
      <c r="B72" s="708"/>
      <c r="C72" s="710"/>
      <c r="D72" s="708"/>
      <c r="E72" s="708"/>
      <c r="F72" s="708"/>
      <c r="G72" s="708"/>
      <c r="H72" s="708"/>
    </row>
    <row r="73" spans="1:15" ht="68.25" customHeight="1" x14ac:dyDescent="0.35">
      <c r="A73" s="830"/>
      <c r="C73" s="994" t="str">
        <f>C4</f>
        <v xml:space="preserve">Leistungsbeschreibung 
</v>
      </c>
      <c r="D73" s="994"/>
      <c r="E73" s="994"/>
      <c r="F73" s="994"/>
      <c r="G73" s="994"/>
      <c r="H73" s="994"/>
    </row>
    <row r="74" spans="1:15" ht="6.75" customHeight="1" x14ac:dyDescent="0.35">
      <c r="A74" s="830"/>
      <c r="C74" s="15"/>
    </row>
    <row r="75" spans="1:15" ht="14.25" customHeight="1" x14ac:dyDescent="0.35">
      <c r="A75" s="830"/>
      <c r="C75" s="442" t="s">
        <v>618</v>
      </c>
      <c r="D75" s="442" t="s">
        <v>619</v>
      </c>
      <c r="E75" s="443" t="s">
        <v>617</v>
      </c>
      <c r="F75" s="443" t="s">
        <v>620</v>
      </c>
      <c r="G75" s="443" t="s">
        <v>601</v>
      </c>
      <c r="H75" s="443" t="s">
        <v>616</v>
      </c>
    </row>
    <row r="76" spans="1:15" x14ac:dyDescent="0.35">
      <c r="A76" s="830"/>
      <c r="C76" s="446" t="str">
        <f t="shared" ref="C76:H76" si="2">IF(C31&lt;&gt;"",C31,"")</f>
        <v/>
      </c>
      <c r="D76" s="440" t="str">
        <f t="shared" si="2"/>
        <v/>
      </c>
      <c r="E76" s="439" t="str">
        <f t="shared" si="2"/>
        <v/>
      </c>
      <c r="F76" s="439" t="str">
        <f t="shared" si="2"/>
        <v/>
      </c>
      <c r="G76" s="444" t="str">
        <f t="shared" si="2"/>
        <v/>
      </c>
      <c r="H76" s="441" t="str">
        <f t="shared" si="2"/>
        <v/>
      </c>
    </row>
    <row r="77" spans="1:15" x14ac:dyDescent="0.35">
      <c r="A77" s="830"/>
      <c r="C77" s="446" t="str">
        <f t="shared" ref="C77:H92" si="3">IF(C32&lt;&gt;"",C32,"")</f>
        <v/>
      </c>
      <c r="D77" s="440" t="str">
        <f t="shared" si="3"/>
        <v/>
      </c>
      <c r="E77" s="439" t="str">
        <f t="shared" si="3"/>
        <v/>
      </c>
      <c r="F77" s="439" t="str">
        <f t="shared" si="3"/>
        <v/>
      </c>
      <c r="G77" s="444" t="str">
        <f t="shared" si="3"/>
        <v/>
      </c>
      <c r="H77" s="441" t="str">
        <f t="shared" si="3"/>
        <v/>
      </c>
      <c r="K77" s="835" t="s">
        <v>626</v>
      </c>
      <c r="L77" s="879"/>
      <c r="M77" s="879"/>
      <c r="N77" s="879"/>
      <c r="O77" s="880"/>
    </row>
    <row r="78" spans="1:15" x14ac:dyDescent="0.35">
      <c r="A78" s="830"/>
      <c r="C78" s="446" t="str">
        <f t="shared" si="3"/>
        <v/>
      </c>
      <c r="D78" s="440" t="str">
        <f t="shared" si="3"/>
        <v/>
      </c>
      <c r="E78" s="439" t="str">
        <f t="shared" si="3"/>
        <v/>
      </c>
      <c r="F78" s="439" t="str">
        <f t="shared" si="3"/>
        <v/>
      </c>
      <c r="G78" s="444" t="str">
        <f t="shared" si="3"/>
        <v/>
      </c>
      <c r="H78" s="441" t="str">
        <f t="shared" si="3"/>
        <v/>
      </c>
      <c r="K78" s="881"/>
      <c r="L78" s="882"/>
      <c r="M78" s="882"/>
      <c r="N78" s="882"/>
      <c r="O78" s="883"/>
    </row>
    <row r="79" spans="1:15" x14ac:dyDescent="0.35">
      <c r="A79" s="830"/>
      <c r="C79" s="446" t="str">
        <f t="shared" si="3"/>
        <v/>
      </c>
      <c r="D79" s="440" t="str">
        <f t="shared" si="3"/>
        <v/>
      </c>
      <c r="E79" s="439" t="str">
        <f t="shared" si="3"/>
        <v/>
      </c>
      <c r="F79" s="439" t="str">
        <f t="shared" si="3"/>
        <v/>
      </c>
      <c r="G79" s="444" t="str">
        <f t="shared" si="3"/>
        <v/>
      </c>
      <c r="H79" s="441" t="str">
        <f t="shared" si="3"/>
        <v/>
      </c>
      <c r="K79" s="881"/>
      <c r="L79" s="882"/>
      <c r="M79" s="882"/>
      <c r="N79" s="882"/>
      <c r="O79" s="883"/>
    </row>
    <row r="80" spans="1:15" x14ac:dyDescent="0.35">
      <c r="A80" s="830"/>
      <c r="C80" s="446" t="str">
        <f t="shared" si="3"/>
        <v/>
      </c>
      <c r="D80" s="440" t="str">
        <f t="shared" si="3"/>
        <v/>
      </c>
      <c r="E80" s="439" t="str">
        <f t="shared" si="3"/>
        <v/>
      </c>
      <c r="F80" s="439" t="str">
        <f t="shared" si="3"/>
        <v/>
      </c>
      <c r="G80" s="444" t="str">
        <f t="shared" si="3"/>
        <v/>
      </c>
      <c r="H80" s="441" t="str">
        <f t="shared" si="3"/>
        <v/>
      </c>
      <c r="K80" s="881"/>
      <c r="L80" s="882"/>
      <c r="M80" s="882"/>
      <c r="N80" s="882"/>
      <c r="O80" s="883"/>
    </row>
    <row r="81" spans="1:15" x14ac:dyDescent="0.35">
      <c r="A81" s="830"/>
      <c r="C81" s="446" t="str">
        <f t="shared" si="3"/>
        <v/>
      </c>
      <c r="D81" s="440" t="str">
        <f t="shared" si="3"/>
        <v/>
      </c>
      <c r="E81" s="439" t="str">
        <f t="shared" si="3"/>
        <v/>
      </c>
      <c r="F81" s="439" t="str">
        <f t="shared" si="3"/>
        <v/>
      </c>
      <c r="G81" s="444" t="str">
        <f t="shared" si="3"/>
        <v/>
      </c>
      <c r="H81" s="441" t="str">
        <f t="shared" si="3"/>
        <v/>
      </c>
      <c r="K81" s="884"/>
      <c r="L81" s="885"/>
      <c r="M81" s="885"/>
      <c r="N81" s="885"/>
      <c r="O81" s="886"/>
    </row>
    <row r="82" spans="1:15" x14ac:dyDescent="0.35">
      <c r="A82" s="830"/>
      <c r="C82" s="446" t="str">
        <f t="shared" si="3"/>
        <v/>
      </c>
      <c r="D82" s="440" t="str">
        <f t="shared" si="3"/>
        <v/>
      </c>
      <c r="E82" s="439" t="str">
        <f t="shared" si="3"/>
        <v/>
      </c>
      <c r="F82" s="439" t="str">
        <f t="shared" si="3"/>
        <v/>
      </c>
      <c r="G82" s="444" t="str">
        <f t="shared" si="3"/>
        <v/>
      </c>
      <c r="H82" s="441" t="str">
        <f t="shared" si="3"/>
        <v/>
      </c>
    </row>
    <row r="83" spans="1:15" x14ac:dyDescent="0.35">
      <c r="A83" s="830"/>
      <c r="C83" s="446" t="str">
        <f t="shared" si="3"/>
        <v/>
      </c>
      <c r="D83" s="440" t="str">
        <f t="shared" si="3"/>
        <v/>
      </c>
      <c r="E83" s="439" t="str">
        <f t="shared" si="3"/>
        <v/>
      </c>
      <c r="F83" s="439" t="str">
        <f t="shared" si="3"/>
        <v/>
      </c>
      <c r="G83" s="444" t="str">
        <f t="shared" si="3"/>
        <v/>
      </c>
      <c r="H83" s="441" t="str">
        <f t="shared" si="3"/>
        <v/>
      </c>
    </row>
    <row r="84" spans="1:15" x14ac:dyDescent="0.35">
      <c r="A84" s="830"/>
      <c r="C84" s="446" t="str">
        <f t="shared" si="3"/>
        <v/>
      </c>
      <c r="D84" s="440" t="str">
        <f t="shared" si="3"/>
        <v/>
      </c>
      <c r="E84" s="439" t="str">
        <f t="shared" si="3"/>
        <v/>
      </c>
      <c r="F84" s="439" t="str">
        <f t="shared" si="3"/>
        <v/>
      </c>
      <c r="G84" s="444" t="str">
        <f t="shared" si="3"/>
        <v/>
      </c>
      <c r="H84" s="441" t="str">
        <f t="shared" si="3"/>
        <v/>
      </c>
    </row>
    <row r="85" spans="1:15" x14ac:dyDescent="0.35">
      <c r="A85" s="830"/>
      <c r="C85" s="446" t="str">
        <f t="shared" si="3"/>
        <v/>
      </c>
      <c r="D85" s="440" t="str">
        <f t="shared" si="3"/>
        <v/>
      </c>
      <c r="E85" s="439" t="str">
        <f t="shared" si="3"/>
        <v/>
      </c>
      <c r="F85" s="439" t="str">
        <f t="shared" si="3"/>
        <v/>
      </c>
      <c r="G85" s="444" t="str">
        <f t="shared" si="3"/>
        <v/>
      </c>
      <c r="H85" s="441" t="str">
        <f t="shared" si="3"/>
        <v/>
      </c>
    </row>
    <row r="86" spans="1:15" x14ac:dyDescent="0.35">
      <c r="A86" s="830"/>
      <c r="C86" s="446" t="str">
        <f t="shared" si="3"/>
        <v/>
      </c>
      <c r="D86" s="440" t="str">
        <f t="shared" si="3"/>
        <v/>
      </c>
      <c r="E86" s="439" t="str">
        <f t="shared" si="3"/>
        <v/>
      </c>
      <c r="F86" s="439" t="str">
        <f t="shared" si="3"/>
        <v/>
      </c>
      <c r="G86" s="444" t="str">
        <f t="shared" si="3"/>
        <v/>
      </c>
      <c r="H86" s="441" t="str">
        <f t="shared" si="3"/>
        <v/>
      </c>
    </row>
    <row r="87" spans="1:15" x14ac:dyDescent="0.35">
      <c r="A87" s="830"/>
      <c r="C87" s="446" t="str">
        <f t="shared" si="3"/>
        <v/>
      </c>
      <c r="D87" s="440" t="str">
        <f t="shared" si="3"/>
        <v/>
      </c>
      <c r="E87" s="439" t="str">
        <f t="shared" si="3"/>
        <v/>
      </c>
      <c r="F87" s="439" t="str">
        <f t="shared" si="3"/>
        <v/>
      </c>
      <c r="G87" s="444" t="str">
        <f t="shared" si="3"/>
        <v/>
      </c>
      <c r="H87" s="441" t="str">
        <f t="shared" si="3"/>
        <v/>
      </c>
    </row>
    <row r="88" spans="1:15" x14ac:dyDescent="0.35">
      <c r="A88" s="830"/>
      <c r="C88" s="446" t="str">
        <f t="shared" si="3"/>
        <v/>
      </c>
      <c r="D88" s="440" t="str">
        <f t="shared" si="3"/>
        <v/>
      </c>
      <c r="E88" s="439" t="str">
        <f t="shared" si="3"/>
        <v/>
      </c>
      <c r="F88" s="439" t="str">
        <f t="shared" si="3"/>
        <v/>
      </c>
      <c r="G88" s="444" t="str">
        <f t="shared" si="3"/>
        <v/>
      </c>
      <c r="H88" s="441" t="str">
        <f t="shared" si="3"/>
        <v/>
      </c>
    </row>
    <row r="89" spans="1:15" x14ac:dyDescent="0.35">
      <c r="A89" s="830"/>
      <c r="C89" s="446" t="str">
        <f t="shared" si="3"/>
        <v/>
      </c>
      <c r="D89" s="440" t="str">
        <f t="shared" si="3"/>
        <v/>
      </c>
      <c r="E89" s="439" t="str">
        <f t="shared" si="3"/>
        <v/>
      </c>
      <c r="F89" s="439" t="str">
        <f t="shared" si="3"/>
        <v/>
      </c>
      <c r="G89" s="444" t="str">
        <f t="shared" si="3"/>
        <v/>
      </c>
      <c r="H89" s="441" t="str">
        <f t="shared" si="3"/>
        <v/>
      </c>
    </row>
    <row r="90" spans="1:15" x14ac:dyDescent="0.35">
      <c r="A90" s="830"/>
      <c r="C90" s="446" t="str">
        <f t="shared" si="3"/>
        <v/>
      </c>
      <c r="D90" s="440" t="str">
        <f t="shared" si="3"/>
        <v/>
      </c>
      <c r="E90" s="439" t="str">
        <f t="shared" si="3"/>
        <v/>
      </c>
      <c r="F90" s="439" t="str">
        <f t="shared" si="3"/>
        <v/>
      </c>
      <c r="G90" s="444" t="str">
        <f t="shared" si="3"/>
        <v/>
      </c>
      <c r="H90" s="441" t="str">
        <f t="shared" si="3"/>
        <v/>
      </c>
    </row>
    <row r="91" spans="1:15" x14ac:dyDescent="0.35">
      <c r="A91" s="830"/>
      <c r="C91" s="446" t="str">
        <f t="shared" si="3"/>
        <v/>
      </c>
      <c r="D91" s="440" t="str">
        <f t="shared" si="3"/>
        <v/>
      </c>
      <c r="E91" s="439" t="str">
        <f t="shared" si="3"/>
        <v/>
      </c>
      <c r="F91" s="439" t="str">
        <f t="shared" si="3"/>
        <v/>
      </c>
      <c r="G91" s="444" t="str">
        <f t="shared" si="3"/>
        <v/>
      </c>
      <c r="H91" s="441" t="str">
        <f t="shared" si="3"/>
        <v/>
      </c>
    </row>
    <row r="92" spans="1:15" x14ac:dyDescent="0.35">
      <c r="A92" s="830"/>
      <c r="C92" s="446" t="str">
        <f t="shared" si="3"/>
        <v/>
      </c>
      <c r="D92" s="440" t="str">
        <f t="shared" si="3"/>
        <v/>
      </c>
      <c r="E92" s="439" t="str">
        <f t="shared" si="3"/>
        <v/>
      </c>
      <c r="F92" s="439" t="str">
        <f t="shared" si="3"/>
        <v/>
      </c>
      <c r="G92" s="444" t="str">
        <f t="shared" si="3"/>
        <v/>
      </c>
      <c r="H92" s="441" t="str">
        <f t="shared" si="3"/>
        <v/>
      </c>
    </row>
    <row r="93" spans="1:15" x14ac:dyDescent="0.35">
      <c r="A93" s="830"/>
      <c r="B93" s="3"/>
      <c r="C93" s="446" t="str">
        <f t="shared" ref="C93:H98" si="4">IF(C48&lt;&gt;"",C48,"")</f>
        <v/>
      </c>
      <c r="D93" s="440" t="str">
        <f t="shared" si="4"/>
        <v/>
      </c>
      <c r="E93" s="439" t="str">
        <f t="shared" si="4"/>
        <v/>
      </c>
      <c r="F93" s="439" t="str">
        <f t="shared" si="4"/>
        <v/>
      </c>
      <c r="G93" s="444" t="str">
        <f t="shared" si="4"/>
        <v/>
      </c>
      <c r="H93" s="441" t="str">
        <f t="shared" si="4"/>
        <v/>
      </c>
    </row>
    <row r="94" spans="1:15" x14ac:dyDescent="0.35">
      <c r="A94" s="830"/>
      <c r="C94" s="446" t="str">
        <f t="shared" si="4"/>
        <v/>
      </c>
      <c r="D94" s="440" t="str">
        <f t="shared" si="4"/>
        <v/>
      </c>
      <c r="E94" s="439" t="str">
        <f t="shared" si="4"/>
        <v/>
      </c>
      <c r="F94" s="439" t="str">
        <f t="shared" si="4"/>
        <v/>
      </c>
      <c r="G94" s="444" t="str">
        <f t="shared" si="4"/>
        <v/>
      </c>
      <c r="H94" s="441" t="str">
        <f t="shared" si="4"/>
        <v/>
      </c>
    </row>
    <row r="95" spans="1:15" x14ac:dyDescent="0.35">
      <c r="A95" s="830"/>
      <c r="C95" s="446" t="str">
        <f t="shared" si="4"/>
        <v/>
      </c>
      <c r="D95" s="440" t="str">
        <f t="shared" si="4"/>
        <v/>
      </c>
      <c r="E95" s="439" t="str">
        <f t="shared" si="4"/>
        <v/>
      </c>
      <c r="F95" s="439" t="str">
        <f t="shared" si="4"/>
        <v/>
      </c>
      <c r="G95" s="444" t="str">
        <f t="shared" si="4"/>
        <v/>
      </c>
      <c r="H95" s="441" t="str">
        <f t="shared" si="4"/>
        <v/>
      </c>
    </row>
    <row r="96" spans="1:15" x14ac:dyDescent="0.35">
      <c r="A96" s="830"/>
      <c r="C96" s="446" t="str">
        <f t="shared" si="4"/>
        <v/>
      </c>
      <c r="D96" s="440" t="str">
        <f t="shared" si="4"/>
        <v/>
      </c>
      <c r="E96" s="439" t="str">
        <f t="shared" si="4"/>
        <v/>
      </c>
      <c r="F96" s="439" t="str">
        <f t="shared" si="4"/>
        <v/>
      </c>
      <c r="G96" s="444" t="str">
        <f t="shared" si="4"/>
        <v/>
      </c>
      <c r="H96" s="441" t="str">
        <f t="shared" si="4"/>
        <v/>
      </c>
    </row>
    <row r="97" spans="1:9" x14ac:dyDescent="0.35">
      <c r="A97" s="830"/>
      <c r="C97" s="446" t="str">
        <f t="shared" si="4"/>
        <v/>
      </c>
      <c r="D97" s="440" t="str">
        <f t="shared" si="4"/>
        <v/>
      </c>
      <c r="E97" s="439" t="str">
        <f t="shared" si="4"/>
        <v/>
      </c>
      <c r="F97" s="439" t="str">
        <f t="shared" si="4"/>
        <v/>
      </c>
      <c r="G97" s="444" t="str">
        <f t="shared" si="4"/>
        <v/>
      </c>
      <c r="H97" s="441" t="str">
        <f t="shared" si="4"/>
        <v/>
      </c>
    </row>
    <row r="98" spans="1:9" x14ac:dyDescent="0.35">
      <c r="A98" s="830"/>
      <c r="C98" s="446" t="str">
        <f t="shared" si="4"/>
        <v/>
      </c>
      <c r="D98" s="440" t="str">
        <f t="shared" si="4"/>
        <v/>
      </c>
      <c r="E98" s="439" t="str">
        <f t="shared" si="4"/>
        <v/>
      </c>
      <c r="F98" s="439" t="str">
        <f t="shared" si="4"/>
        <v/>
      </c>
      <c r="G98" s="444" t="str">
        <f t="shared" si="4"/>
        <v/>
      </c>
      <c r="H98" s="441" t="str">
        <f t="shared" si="4"/>
        <v/>
      </c>
    </row>
    <row r="99" spans="1:9" x14ac:dyDescent="0.35">
      <c r="A99" s="830"/>
      <c r="C99" s="447"/>
      <c r="D99" s="447"/>
      <c r="E99" s="447"/>
      <c r="F99" s="447"/>
      <c r="G99" s="892" t="str">
        <f>IF(VSK&lt;&gt;0, SUM(H76:H98),"")</f>
        <v/>
      </c>
      <c r="H99" s="892"/>
    </row>
    <row r="100" spans="1:9" x14ac:dyDescent="0.35">
      <c r="A100" s="830"/>
    </row>
    <row r="101" spans="1:9" x14ac:dyDescent="0.35">
      <c r="A101" s="830"/>
      <c r="B101" s="3"/>
      <c r="C101" t="str">
        <f>IF(AND(ZuAbschlag&lt;&gt;0,VSK&lt;&gt;0),"Zu-/Abschlag:","")</f>
        <v/>
      </c>
      <c r="E101" s="15" t="str">
        <f>IF(AND(ZuAbschlag&lt;&gt;0,VSK&lt;&gt;0),ZuAbschlag,"")</f>
        <v/>
      </c>
      <c r="F101" s="481" t="str">
        <f>IF(AND(ZuAbschlag&lt;&gt;0,VSK&lt;&gt;0),G99*E101,"")</f>
        <v/>
      </c>
      <c r="G101" s="1" t="str">
        <f>IF(AND(ZuAbschlag&lt;&gt;0,VSK&lt;&gt;0,F56&lt;&gt;""),F56,"")</f>
        <v/>
      </c>
    </row>
    <row r="102" spans="1:9" ht="15.5" x14ac:dyDescent="0.35">
      <c r="A102" s="830"/>
      <c r="C102" t="str">
        <f>IF(AND(NK&lt;&gt;0,VSK&lt;&gt;0),"Nebenkosten:","")</f>
        <v/>
      </c>
      <c r="F102" s="481" t="str">
        <f>IF(AND(NK&lt;&gt;0,VSK&lt;&gt;0),NK,"")</f>
        <v/>
      </c>
      <c r="G102" s="1" t="str">
        <f>IF(AND(NK&lt;&gt;0,VSK&lt;&gt;0,F57&lt;&gt;""),F57,"")</f>
        <v/>
      </c>
      <c r="I102" s="16"/>
    </row>
    <row r="103" spans="1:9" x14ac:dyDescent="0.35">
      <c r="A103" s="830"/>
    </row>
    <row r="104" spans="1:9" ht="15.5" x14ac:dyDescent="0.35">
      <c r="A104" s="830"/>
      <c r="C104" s="16" t="s">
        <v>65</v>
      </c>
      <c r="D104" s="16"/>
      <c r="E104" s="16"/>
      <c r="F104" s="16"/>
      <c r="G104" s="893">
        <f>IF(VSK&gt;0,SUM(F102,F101,G99),0)</f>
        <v>0</v>
      </c>
      <c r="H104" s="894"/>
    </row>
    <row r="105" spans="1:9" x14ac:dyDescent="0.35">
      <c r="A105" s="830"/>
    </row>
  </sheetData>
  <mergeCells count="16">
    <mergeCell ref="K77:O81"/>
    <mergeCell ref="G99:H99"/>
    <mergeCell ref="G104:H104"/>
    <mergeCell ref="F56:H56"/>
    <mergeCell ref="F57:H57"/>
    <mergeCell ref="G59:H59"/>
    <mergeCell ref="A1:A61"/>
    <mergeCell ref="C2:H2"/>
    <mergeCell ref="C4:H5"/>
    <mergeCell ref="A62:A105"/>
    <mergeCell ref="B62:I62"/>
    <mergeCell ref="B63:I63"/>
    <mergeCell ref="B64:I64"/>
    <mergeCell ref="B65:I65"/>
    <mergeCell ref="B67:I67"/>
    <mergeCell ref="C73:H73"/>
  </mergeCells>
  <dataValidations disablePrompts="1" count="4">
    <dataValidation type="decimal" operator="greaterThan" allowBlank="1" showInputMessage="1" showErrorMessage="1" sqref="F31:F53" xr:uid="{00000000-0002-0000-1C00-000000000000}">
      <formula1>-99999</formula1>
    </dataValidation>
    <dataValidation type="list" showInputMessage="1" showErrorMessage="1" sqref="E31:E53" xr:uid="{00000000-0002-0000-1C00-000001000000}">
      <formula1>$G$8:$G$22</formula1>
    </dataValidation>
    <dataValidation type="decimal" operator="greaterThan" allowBlank="1" showInputMessage="1" showErrorMessage="1" sqref="E57" xr:uid="{00000000-0002-0000-1C00-000002000000}">
      <formula1>-1000000</formula1>
    </dataValidation>
    <dataValidation type="decimal" operator="greaterThan" showInputMessage="1" showErrorMessage="1" sqref="E56" xr:uid="{00000000-0002-0000-1C00-000003000000}">
      <formula1>-1000</formula1>
    </dataValidation>
  </dataValidations>
  <pageMargins left="0.70866141732283472" right="0.39370078740157483" top="0.59055118110236227" bottom="0.59055118110236227" header="0.31496062992125984" footer="0.31496062992125984"/>
  <pageSetup paperSize="9" orientation="portrait" r:id="rId1"/>
  <headerFooter>
    <oddFooter>&amp;L&amp;9&amp;F, &amp;A&amp;R&amp;9&amp;D</oddFooter>
  </headerFooter>
  <legacyDrawingHF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Tabelle35"/>
  <dimension ref="A1:U105"/>
  <sheetViews>
    <sheetView zoomScaleNormal="100" workbookViewId="0">
      <selection activeCell="C4" sqref="C4:H5"/>
    </sheetView>
  </sheetViews>
  <sheetFormatPr baseColWidth="10" defaultColWidth="11.453125" defaultRowHeight="14.5" x14ac:dyDescent="0.35"/>
  <cols>
    <col min="1" max="1" width="4" customWidth="1"/>
    <col min="2" max="2" width="4.7265625" customWidth="1"/>
    <col min="3" max="3" width="5.7265625" customWidth="1"/>
    <col min="4" max="4" width="35.7265625" customWidth="1"/>
    <col min="5" max="7" width="8.453125" customWidth="1"/>
    <col min="8" max="8" width="11.453125" customWidth="1"/>
    <col min="9" max="9" width="4.26953125" customWidth="1"/>
  </cols>
  <sheetData>
    <row r="1" spans="1:21" ht="15.75" customHeight="1" x14ac:dyDescent="0.35">
      <c r="A1" s="833" t="s">
        <v>35</v>
      </c>
      <c r="B1" s="45"/>
      <c r="C1" s="45"/>
      <c r="D1" s="45"/>
      <c r="E1" s="45"/>
      <c r="F1" s="45"/>
      <c r="G1" s="45"/>
      <c r="H1" s="45"/>
      <c r="I1" s="45"/>
      <c r="K1" s="93" t="s">
        <v>699</v>
      </c>
      <c r="L1" s="93"/>
      <c r="M1" s="93"/>
      <c r="N1" s="94">
        <f ca="1">CELL("ZEILE",B67)</f>
        <v>67</v>
      </c>
    </row>
    <row r="2" spans="1:21" ht="23.5" x14ac:dyDescent="0.35">
      <c r="A2" s="833"/>
      <c r="B2" s="46"/>
      <c r="C2" s="864" t="s">
        <v>1154</v>
      </c>
      <c r="D2" s="865"/>
      <c r="E2" s="865"/>
      <c r="F2" s="865"/>
      <c r="G2" s="865"/>
      <c r="H2" s="866"/>
      <c r="I2" s="45"/>
      <c r="K2" s="175" t="s">
        <v>700</v>
      </c>
      <c r="L2" s="155"/>
      <c r="M2" s="155"/>
      <c r="N2" s="175">
        <f ca="1">CELL("ZEILE",G104)</f>
        <v>104</v>
      </c>
    </row>
    <row r="3" spans="1:21" ht="15.5" x14ac:dyDescent="0.35">
      <c r="A3" s="833"/>
      <c r="B3" s="330"/>
      <c r="C3" s="330"/>
      <c r="D3" s="330"/>
      <c r="E3" s="330"/>
      <c r="F3" s="330"/>
      <c r="G3" s="330"/>
      <c r="H3" s="330"/>
      <c r="I3" s="330"/>
      <c r="K3" s="175" t="s">
        <v>701</v>
      </c>
      <c r="L3" s="155"/>
      <c r="M3" s="155"/>
      <c r="N3" s="175">
        <f>E59</f>
        <v>0</v>
      </c>
    </row>
    <row r="4" spans="1:21" ht="7.5" customHeight="1" x14ac:dyDescent="0.35">
      <c r="A4" s="833"/>
      <c r="B4" s="330"/>
      <c r="C4" s="988" t="s">
        <v>939</v>
      </c>
      <c r="D4" s="989"/>
      <c r="E4" s="989"/>
      <c r="F4" s="989"/>
      <c r="G4" s="989"/>
      <c r="H4" s="990"/>
      <c r="I4" s="330"/>
      <c r="K4" s="175"/>
      <c r="L4" s="155"/>
      <c r="M4" s="155"/>
      <c r="N4" s="175"/>
    </row>
    <row r="5" spans="1:21" ht="63.75" customHeight="1" x14ac:dyDescent="0.35">
      <c r="A5" s="833"/>
      <c r="B5" s="330"/>
      <c r="C5" s="991"/>
      <c r="D5" s="992"/>
      <c r="E5" s="992"/>
      <c r="F5" s="992"/>
      <c r="G5" s="992"/>
      <c r="H5" s="993"/>
      <c r="I5" s="330"/>
      <c r="K5" s="175"/>
      <c r="L5" s="155"/>
      <c r="M5" s="155"/>
      <c r="N5" s="175"/>
    </row>
    <row r="6" spans="1:21" ht="7.5" customHeight="1" x14ac:dyDescent="0.35">
      <c r="A6" s="833"/>
      <c r="B6" s="330"/>
      <c r="C6" s="330"/>
      <c r="D6" s="330"/>
      <c r="E6" s="330"/>
      <c r="F6" s="330"/>
      <c r="G6" s="330"/>
      <c r="H6" s="330"/>
      <c r="I6" s="330"/>
      <c r="K6" s="175"/>
      <c r="L6" s="155"/>
      <c r="M6" s="155"/>
      <c r="N6" s="175"/>
    </row>
    <row r="7" spans="1:21" ht="16.5" customHeight="1" thickBot="1" x14ac:dyDescent="0.4">
      <c r="A7" s="833"/>
      <c r="B7" s="330"/>
      <c r="C7" s="330"/>
      <c r="D7" s="330" t="s">
        <v>600</v>
      </c>
      <c r="E7" s="330"/>
      <c r="F7" s="330"/>
      <c r="G7" s="343" t="s">
        <v>599</v>
      </c>
      <c r="H7" s="343" t="s">
        <v>601</v>
      </c>
      <c r="I7" s="330"/>
      <c r="K7" s="175"/>
      <c r="L7" s="155"/>
      <c r="M7" s="155"/>
      <c r="N7" s="175"/>
    </row>
    <row r="8" spans="1:21" ht="15" thickBot="1" x14ac:dyDescent="0.4">
      <c r="A8" s="833"/>
      <c r="B8" s="242"/>
      <c r="C8" s="546" t="s">
        <v>602</v>
      </c>
      <c r="D8" s="547"/>
      <c r="E8" s="547"/>
      <c r="F8" s="548"/>
      <c r="G8" s="429" t="s">
        <v>604</v>
      </c>
      <c r="H8" s="431">
        <f>ROUND(IS*0.5,2)</f>
        <v>0</v>
      </c>
      <c r="I8" s="432"/>
    </row>
    <row r="9" spans="1:21" s="234" customFormat="1" ht="15" customHeight="1" thickBot="1" x14ac:dyDescent="0.35">
      <c r="A9" s="833"/>
      <c r="B9" s="242"/>
      <c r="C9" s="546" t="s">
        <v>603</v>
      </c>
      <c r="D9" s="547"/>
      <c r="E9" s="547"/>
      <c r="F9" s="548"/>
      <c r="G9" s="429" t="s">
        <v>627</v>
      </c>
      <c r="H9" s="431">
        <f>ROUND(IS*0.65,2)</f>
        <v>0</v>
      </c>
      <c r="I9" s="432"/>
    </row>
    <row r="10" spans="1:21" s="234" customFormat="1" ht="15" customHeight="1" thickBot="1" x14ac:dyDescent="0.35">
      <c r="A10" s="833"/>
      <c r="B10" s="242"/>
      <c r="C10" s="546" t="s">
        <v>605</v>
      </c>
      <c r="D10" s="547"/>
      <c r="E10" s="547"/>
      <c r="F10" s="548"/>
      <c r="G10" s="429" t="s">
        <v>606</v>
      </c>
      <c r="H10" s="431">
        <f>ROUND(IS*0.8,2)</f>
        <v>0</v>
      </c>
      <c r="I10" s="432"/>
      <c r="K10" s="433"/>
      <c r="M10" s="434"/>
    </row>
    <row r="11" spans="1:21" s="234" customFormat="1" ht="15" customHeight="1" thickBot="1" x14ac:dyDescent="0.35">
      <c r="A11" s="833"/>
      <c r="B11" s="242"/>
      <c r="C11" s="546" t="s">
        <v>1113</v>
      </c>
      <c r="D11" s="547"/>
      <c r="E11" s="547"/>
      <c r="F11" s="548"/>
      <c r="G11" s="429" t="s">
        <v>1116</v>
      </c>
      <c r="H11" s="431">
        <f>ROUND(H10*0.667,2)</f>
        <v>0</v>
      </c>
      <c r="I11" s="432"/>
      <c r="K11" s="433"/>
      <c r="M11" s="434"/>
      <c r="P11" s="433"/>
      <c r="Q11" s="433"/>
      <c r="R11" s="433"/>
      <c r="S11" s="433"/>
      <c r="T11" s="433"/>
      <c r="U11" s="433"/>
    </row>
    <row r="12" spans="1:21" s="234" customFormat="1" ht="15" customHeight="1" thickBot="1" x14ac:dyDescent="0.35">
      <c r="A12" s="833"/>
      <c r="B12" s="336"/>
      <c r="C12" s="546" t="s">
        <v>612</v>
      </c>
      <c r="D12" s="547"/>
      <c r="E12" s="547"/>
      <c r="F12" s="548"/>
      <c r="G12" s="429" t="s">
        <v>613</v>
      </c>
      <c r="H12" s="431">
        <f>ROUND(IS*0.8+0.15*IS,2)</f>
        <v>0</v>
      </c>
      <c r="I12" s="336"/>
      <c r="K12" s="433"/>
      <c r="M12" s="434"/>
      <c r="P12" s="433"/>
      <c r="Q12" s="433"/>
      <c r="R12" s="433"/>
      <c r="S12" s="433"/>
      <c r="T12" s="433"/>
      <c r="U12" s="433"/>
    </row>
    <row r="13" spans="1:21" s="234" customFormat="1" ht="15" customHeight="1" thickBot="1" x14ac:dyDescent="0.35">
      <c r="A13" s="833"/>
      <c r="B13" s="336"/>
      <c r="C13" s="546" t="s">
        <v>607</v>
      </c>
      <c r="D13" s="547"/>
      <c r="E13" s="547"/>
      <c r="F13" s="548"/>
      <c r="G13" s="429" t="s">
        <v>608</v>
      </c>
      <c r="H13" s="431">
        <f>ROUND(IS*1,2)</f>
        <v>0</v>
      </c>
      <c r="I13" s="336"/>
      <c r="K13" s="433"/>
      <c r="M13" s="434"/>
      <c r="P13" s="433"/>
      <c r="Q13" s="433"/>
      <c r="R13" s="433"/>
      <c r="S13" s="433"/>
      <c r="T13" s="433"/>
      <c r="U13" s="433"/>
    </row>
    <row r="14" spans="1:21" s="234" customFormat="1" ht="15" customHeight="1" thickBot="1" x14ac:dyDescent="0.35">
      <c r="A14" s="833"/>
      <c r="B14" s="336"/>
      <c r="C14" s="546" t="s">
        <v>1114</v>
      </c>
      <c r="D14" s="547"/>
      <c r="E14" s="547"/>
      <c r="F14" s="548"/>
      <c r="G14" s="429" t="s">
        <v>1115</v>
      </c>
      <c r="H14" s="431">
        <f>ROUND(H13*0.667,2)</f>
        <v>0</v>
      </c>
      <c r="I14" s="336"/>
      <c r="K14" s="433"/>
      <c r="M14" s="434"/>
      <c r="P14" s="433"/>
      <c r="Q14" s="433"/>
      <c r="R14" s="433"/>
      <c r="S14" s="433"/>
      <c r="T14" s="433"/>
      <c r="U14" s="433"/>
    </row>
    <row r="15" spans="1:21" s="234" customFormat="1" ht="15" customHeight="1" thickBot="1" x14ac:dyDescent="0.35">
      <c r="A15" s="833"/>
      <c r="B15" s="336"/>
      <c r="C15" s="546" t="s">
        <v>946</v>
      </c>
      <c r="D15" s="547"/>
      <c r="E15" s="547"/>
      <c r="F15" s="548"/>
      <c r="G15" s="429" t="s">
        <v>947</v>
      </c>
      <c r="H15" s="431">
        <f>ROUND(IS*1.15,2)</f>
        <v>0</v>
      </c>
      <c r="I15" s="336"/>
      <c r="K15" s="433"/>
      <c r="L15" s="433"/>
      <c r="M15" s="435"/>
      <c r="N15" s="433"/>
      <c r="O15" s="433"/>
      <c r="P15" s="433"/>
      <c r="Q15" s="433"/>
      <c r="R15" s="433"/>
      <c r="S15" s="433"/>
      <c r="T15" s="433"/>
      <c r="U15" s="433"/>
    </row>
    <row r="16" spans="1:21" s="234" customFormat="1" ht="15" customHeight="1" thickBot="1" x14ac:dyDescent="0.35">
      <c r="A16" s="833"/>
      <c r="B16" s="336"/>
      <c r="C16" s="546" t="s">
        <v>609</v>
      </c>
      <c r="D16" s="547"/>
      <c r="E16" s="547"/>
      <c r="F16" s="548"/>
      <c r="G16" s="429" t="s">
        <v>835</v>
      </c>
      <c r="H16" s="431">
        <f>ROUND(IS*1.25,2)</f>
        <v>0</v>
      </c>
      <c r="I16" s="336"/>
      <c r="P16" s="433"/>
      <c r="Q16" s="433"/>
      <c r="R16" s="433"/>
      <c r="S16" s="433"/>
      <c r="T16" s="433"/>
      <c r="U16" s="433"/>
    </row>
    <row r="17" spans="1:21" s="234" customFormat="1" ht="15" customHeight="1" thickBot="1" x14ac:dyDescent="0.35">
      <c r="A17" s="833"/>
      <c r="B17" s="336"/>
      <c r="C17" s="546" t="s">
        <v>1109</v>
      </c>
      <c r="D17" s="547"/>
      <c r="E17" s="547"/>
      <c r="F17" s="548"/>
      <c r="G17" s="429" t="s">
        <v>833</v>
      </c>
      <c r="H17" s="431">
        <f>ROUND(IS*1+H23+H24,2)</f>
        <v>0</v>
      </c>
      <c r="I17" s="336"/>
      <c r="K17" s="433"/>
      <c r="L17" s="433"/>
      <c r="M17" s="436"/>
      <c r="N17" s="433"/>
      <c r="O17" s="433"/>
      <c r="P17" s="433"/>
      <c r="Q17" s="433"/>
      <c r="R17" s="433"/>
      <c r="S17" s="433"/>
      <c r="T17" s="433"/>
      <c r="U17" s="433"/>
    </row>
    <row r="18" spans="1:21" s="234" customFormat="1" ht="15" customHeight="1" thickBot="1" x14ac:dyDescent="0.35">
      <c r="A18" s="833"/>
      <c r="B18" s="336"/>
      <c r="C18" s="546" t="s">
        <v>1110</v>
      </c>
      <c r="D18" s="547"/>
      <c r="E18" s="547"/>
      <c r="F18" s="548"/>
      <c r="G18" s="429" t="s">
        <v>834</v>
      </c>
      <c r="H18" s="431">
        <f>ROUND(IS*1.6+H23,2)</f>
        <v>0</v>
      </c>
      <c r="I18" s="336"/>
      <c r="K18" s="433"/>
      <c r="L18" s="433"/>
      <c r="M18" s="436"/>
      <c r="N18" s="433"/>
      <c r="O18" s="433"/>
      <c r="P18" s="433"/>
      <c r="Q18" s="433"/>
      <c r="R18" s="433"/>
      <c r="S18" s="433"/>
      <c r="T18" s="433"/>
      <c r="U18" s="433"/>
    </row>
    <row r="19" spans="1:21" s="234" customFormat="1" ht="15" customHeight="1" thickBot="1" x14ac:dyDescent="0.35">
      <c r="A19" s="833"/>
      <c r="B19" s="336"/>
      <c r="C19" s="546" t="s">
        <v>1111</v>
      </c>
      <c r="D19" s="547"/>
      <c r="E19" s="547"/>
      <c r="F19" s="548"/>
      <c r="G19" s="429" t="s">
        <v>1117</v>
      </c>
      <c r="H19" s="431">
        <f>ROUND(IS*1*0.667,2)</f>
        <v>0</v>
      </c>
      <c r="I19" s="336"/>
      <c r="K19" s="433"/>
      <c r="L19" s="433"/>
      <c r="M19" s="436"/>
      <c r="N19" s="433"/>
      <c r="O19" s="433"/>
      <c r="P19" s="433"/>
      <c r="Q19" s="433"/>
      <c r="R19" s="433"/>
      <c r="S19" s="433"/>
      <c r="T19" s="433"/>
      <c r="U19" s="433"/>
    </row>
    <row r="20" spans="1:21" s="234" customFormat="1" ht="15" customHeight="1" thickBot="1" x14ac:dyDescent="0.35">
      <c r="A20" s="833"/>
      <c r="B20" s="336"/>
      <c r="C20" s="546" t="s">
        <v>1112</v>
      </c>
      <c r="D20" s="547"/>
      <c r="E20" s="547"/>
      <c r="F20" s="548"/>
      <c r="G20" s="429" t="s">
        <v>1118</v>
      </c>
      <c r="H20" s="431">
        <f>ROUND(IS*1.6*0.667,2)</f>
        <v>0</v>
      </c>
      <c r="I20" s="336"/>
      <c r="K20" s="433"/>
      <c r="L20" s="433"/>
      <c r="M20" s="436"/>
      <c r="N20" s="433"/>
      <c r="O20" s="433"/>
      <c r="P20" s="433"/>
      <c r="Q20" s="433"/>
      <c r="R20" s="433"/>
      <c r="S20" s="433"/>
      <c r="T20" s="433"/>
      <c r="U20" s="433"/>
    </row>
    <row r="21" spans="1:21" s="234" customFormat="1" ht="15" customHeight="1" thickBot="1" x14ac:dyDescent="0.35">
      <c r="A21" s="833"/>
      <c r="B21" s="336"/>
      <c r="C21" s="546" t="s">
        <v>1107</v>
      </c>
      <c r="D21" s="547"/>
      <c r="E21" s="547"/>
      <c r="F21" s="548"/>
      <c r="G21" s="429" t="s">
        <v>1119</v>
      </c>
      <c r="H21" s="431">
        <f>ROUND(IS*1+H23+20*H26,2)</f>
        <v>13</v>
      </c>
      <c r="I21" s="336"/>
      <c r="K21" s="433"/>
      <c r="L21" s="433"/>
      <c r="M21" s="436"/>
      <c r="N21" s="433"/>
      <c r="O21" s="433"/>
      <c r="P21" s="433"/>
      <c r="Q21" s="433"/>
      <c r="R21" s="433"/>
      <c r="S21" s="433"/>
      <c r="T21" s="433"/>
      <c r="U21" s="433"/>
    </row>
    <row r="22" spans="1:21" s="234" customFormat="1" ht="15" customHeight="1" thickBot="1" x14ac:dyDescent="0.35">
      <c r="A22" s="833"/>
      <c r="B22" s="336"/>
      <c r="C22" s="546" t="s">
        <v>1108</v>
      </c>
      <c r="D22" s="547"/>
      <c r="E22" s="547"/>
      <c r="F22" s="548"/>
      <c r="G22" s="429" t="s">
        <v>1120</v>
      </c>
      <c r="H22" s="431">
        <f>ROUND(IS*1.6+H23+20*H26,2)</f>
        <v>13</v>
      </c>
      <c r="I22" s="336"/>
      <c r="K22" s="433"/>
      <c r="L22" s="433"/>
      <c r="M22" s="436"/>
      <c r="N22" s="433"/>
      <c r="O22" s="433"/>
      <c r="P22" s="433"/>
      <c r="Q22" s="433"/>
      <c r="R22" s="433"/>
      <c r="S22" s="433"/>
      <c r="T22" s="433"/>
      <c r="U22" s="433"/>
    </row>
    <row r="23" spans="1:21" s="234" customFormat="1" ht="15" customHeight="1" thickBot="1" x14ac:dyDescent="0.35">
      <c r="A23" s="833"/>
      <c r="B23" s="336"/>
      <c r="C23" s="546" t="s">
        <v>831</v>
      </c>
      <c r="D23" s="547"/>
      <c r="E23" s="547"/>
      <c r="F23" s="548"/>
      <c r="G23" s="429" t="s">
        <v>830</v>
      </c>
      <c r="H23" s="431">
        <f>ROUND(0.15*IS,2)</f>
        <v>0</v>
      </c>
      <c r="I23" s="336"/>
      <c r="K23" s="433"/>
      <c r="L23" s="433"/>
      <c r="M23" s="436"/>
      <c r="N23" s="433"/>
      <c r="O23" s="433"/>
      <c r="P23" s="433"/>
      <c r="Q23" s="433"/>
      <c r="R23" s="433"/>
      <c r="S23" s="433"/>
      <c r="T23" s="433"/>
      <c r="U23" s="433"/>
    </row>
    <row r="24" spans="1:21" s="234" customFormat="1" ht="15" customHeight="1" thickBot="1" x14ac:dyDescent="0.35">
      <c r="A24" s="833"/>
      <c r="B24" s="336"/>
      <c r="C24" s="546" t="s">
        <v>829</v>
      </c>
      <c r="D24" s="547"/>
      <c r="E24" s="547"/>
      <c r="F24" s="548"/>
      <c r="G24" s="429" t="s">
        <v>832</v>
      </c>
      <c r="H24" s="431">
        <f>ROUND(0.05*IS,2)</f>
        <v>0</v>
      </c>
      <c r="I24" s="336"/>
      <c r="K24" s="433"/>
      <c r="L24" s="433"/>
      <c r="M24" s="436"/>
      <c r="N24" s="433"/>
      <c r="O24" s="433"/>
      <c r="P24" s="433"/>
      <c r="Q24" s="433"/>
      <c r="R24" s="433"/>
      <c r="S24" s="433"/>
      <c r="T24" s="433"/>
      <c r="U24" s="433"/>
    </row>
    <row r="25" spans="1:21" s="234" customFormat="1" ht="15" customHeight="1" thickBot="1" x14ac:dyDescent="0.35">
      <c r="A25" s="833"/>
      <c r="B25" s="336"/>
      <c r="C25" s="546" t="s">
        <v>942</v>
      </c>
      <c r="D25" s="547"/>
      <c r="E25" s="547"/>
      <c r="F25" s="548"/>
      <c r="G25" s="429" t="s">
        <v>943</v>
      </c>
      <c r="H25" s="431">
        <v>0.5</v>
      </c>
      <c r="I25" s="336"/>
      <c r="K25" s="433"/>
      <c r="L25" s="433"/>
      <c r="M25" s="436"/>
      <c r="N25" s="433"/>
      <c r="O25" s="433"/>
      <c r="P25" s="433"/>
      <c r="Q25" s="433"/>
      <c r="R25" s="433"/>
      <c r="S25" s="433"/>
      <c r="T25" s="433"/>
      <c r="U25" s="433"/>
    </row>
    <row r="26" spans="1:21" s="234" customFormat="1" ht="15" customHeight="1" thickBot="1" x14ac:dyDescent="0.35">
      <c r="A26" s="833"/>
      <c r="B26" s="336"/>
      <c r="C26" s="546" t="s">
        <v>1155</v>
      </c>
      <c r="D26" s="547"/>
      <c r="E26" s="547"/>
      <c r="F26" s="548"/>
      <c r="G26" s="429" t="s">
        <v>944</v>
      </c>
      <c r="H26" s="431">
        <v>0.65</v>
      </c>
      <c r="I26" s="336"/>
      <c r="K26" s="433"/>
      <c r="L26" s="433"/>
      <c r="M26" s="436"/>
      <c r="N26" s="433"/>
      <c r="O26" s="433"/>
      <c r="P26" s="433"/>
      <c r="Q26" s="433"/>
      <c r="R26" s="433"/>
      <c r="S26" s="433"/>
      <c r="T26" s="433"/>
      <c r="U26" s="433"/>
    </row>
    <row r="27" spans="1:21" s="234" customFormat="1" ht="15" customHeight="1" thickBot="1" x14ac:dyDescent="0.35">
      <c r="A27" s="833"/>
      <c r="B27" s="336"/>
      <c r="C27" s="546" t="s">
        <v>941</v>
      </c>
      <c r="D27" s="547"/>
      <c r="E27" s="547"/>
      <c r="F27" s="548"/>
      <c r="G27" s="429" t="s">
        <v>945</v>
      </c>
      <c r="H27" s="431">
        <v>1</v>
      </c>
      <c r="I27" s="336"/>
      <c r="K27" s="433"/>
      <c r="L27" s="433"/>
      <c r="M27" s="436"/>
      <c r="N27" s="433"/>
      <c r="O27" s="433"/>
      <c r="P27" s="433"/>
      <c r="Q27" s="433"/>
      <c r="R27" s="433"/>
      <c r="S27" s="433"/>
      <c r="T27" s="433"/>
      <c r="U27" s="433"/>
    </row>
    <row r="28" spans="1:21" s="234" customFormat="1" ht="15" customHeight="1" x14ac:dyDescent="0.3">
      <c r="A28" s="833"/>
      <c r="B28" s="336"/>
      <c r="C28" s="336"/>
      <c r="D28" s="336"/>
      <c r="E28" s="336"/>
      <c r="F28" s="336"/>
      <c r="G28" s="336"/>
      <c r="H28" s="336"/>
      <c r="I28" s="336"/>
      <c r="K28" s="433"/>
      <c r="L28" s="433"/>
      <c r="M28" s="436"/>
      <c r="N28" s="433"/>
      <c r="O28" s="433"/>
      <c r="P28" s="433"/>
      <c r="Q28" s="433"/>
      <c r="R28" s="433"/>
      <c r="S28" s="433"/>
      <c r="T28" s="433"/>
      <c r="U28" s="433"/>
    </row>
    <row r="29" spans="1:21" s="234" customFormat="1" ht="15" customHeight="1" x14ac:dyDescent="0.3">
      <c r="A29" s="833"/>
      <c r="B29" s="336"/>
      <c r="C29" s="336"/>
      <c r="D29" s="336"/>
      <c r="E29" s="336"/>
      <c r="F29" s="336"/>
      <c r="G29" s="336"/>
      <c r="H29" s="336"/>
      <c r="I29" s="336"/>
      <c r="K29" s="433"/>
      <c r="L29" s="433"/>
      <c r="M29" s="436"/>
      <c r="N29" s="433"/>
      <c r="O29" s="433"/>
      <c r="P29" s="433"/>
      <c r="Q29" s="433"/>
      <c r="R29" s="433"/>
      <c r="S29" s="433"/>
      <c r="T29" s="433"/>
      <c r="U29" s="433"/>
    </row>
    <row r="30" spans="1:21" s="234" customFormat="1" ht="15" customHeight="1" thickBot="1" x14ac:dyDescent="0.35">
      <c r="A30" s="833"/>
      <c r="B30" s="336"/>
      <c r="C30" s="336" t="s">
        <v>618</v>
      </c>
      <c r="D30" s="336" t="s">
        <v>619</v>
      </c>
      <c r="E30" s="437" t="s">
        <v>617</v>
      </c>
      <c r="F30" s="437" t="s">
        <v>620</v>
      </c>
      <c r="G30" s="437" t="s">
        <v>601</v>
      </c>
      <c r="H30" s="437" t="s">
        <v>616</v>
      </c>
      <c r="I30" s="336"/>
      <c r="K30" s="433"/>
      <c r="L30" s="433"/>
      <c r="M30" s="436"/>
      <c r="N30" s="433"/>
      <c r="O30" s="433"/>
      <c r="P30" s="433"/>
      <c r="Q30" s="433"/>
      <c r="R30" s="433"/>
      <c r="S30" s="433"/>
      <c r="T30" s="433"/>
      <c r="U30" s="433"/>
    </row>
    <row r="31" spans="1:21" s="234" customFormat="1" ht="15" customHeight="1" thickBot="1" x14ac:dyDescent="0.35">
      <c r="A31" s="833"/>
      <c r="B31" s="63"/>
      <c r="C31" s="445"/>
      <c r="D31" s="449"/>
      <c r="E31" s="430"/>
      <c r="F31" s="430"/>
      <c r="G31" s="448" t="str">
        <f t="shared" ref="G31:G53" si="0">IF(E31&lt;&gt;"",VLOOKUP(E31,G$8:H$22,2,FALSE),"")</f>
        <v/>
      </c>
      <c r="H31" s="448" t="str">
        <f t="shared" ref="H31:H53" si="1">IF(AND(E31&lt;&gt;"",F31&lt;&gt;"",F31&gt;0),F31*G31,"")</f>
        <v/>
      </c>
      <c r="I31" s="64"/>
      <c r="K31" s="433"/>
      <c r="L31" s="433"/>
      <c r="M31" s="436"/>
      <c r="N31" s="433"/>
      <c r="O31" s="433"/>
      <c r="P31" s="433"/>
    </row>
    <row r="32" spans="1:21" ht="16" thickBot="1" x14ac:dyDescent="0.4">
      <c r="A32" s="833"/>
      <c r="B32" s="330"/>
      <c r="C32" s="445"/>
      <c r="D32" s="449"/>
      <c r="E32" s="430"/>
      <c r="F32" s="430"/>
      <c r="G32" s="448" t="str">
        <f t="shared" si="0"/>
        <v/>
      </c>
      <c r="H32" s="448" t="str">
        <f t="shared" si="1"/>
        <v/>
      </c>
      <c r="I32" s="330"/>
      <c r="K32" s="254"/>
      <c r="L32" s="254"/>
      <c r="M32" s="332"/>
      <c r="N32" s="254"/>
      <c r="O32" s="254"/>
      <c r="P32" s="254"/>
    </row>
    <row r="33" spans="1:16" ht="16" thickBot="1" x14ac:dyDescent="0.4">
      <c r="A33" s="833"/>
      <c r="B33" s="330"/>
      <c r="C33" s="445"/>
      <c r="D33" s="449"/>
      <c r="E33" s="430"/>
      <c r="F33" s="430"/>
      <c r="G33" s="448" t="str">
        <f t="shared" si="0"/>
        <v/>
      </c>
      <c r="H33" s="448" t="str">
        <f t="shared" si="1"/>
        <v/>
      </c>
      <c r="I33" s="330"/>
      <c r="K33" s="254"/>
      <c r="L33" s="254"/>
      <c r="M33" s="332"/>
      <c r="N33" s="254"/>
      <c r="O33" s="254"/>
      <c r="P33" s="254"/>
    </row>
    <row r="34" spans="1:16" ht="16" thickBot="1" x14ac:dyDescent="0.4">
      <c r="A34" s="833"/>
      <c r="B34" s="330"/>
      <c r="C34" s="445"/>
      <c r="D34" s="449"/>
      <c r="E34" s="430"/>
      <c r="F34" s="430"/>
      <c r="G34" s="448" t="str">
        <f t="shared" si="0"/>
        <v/>
      </c>
      <c r="H34" s="448" t="str">
        <f t="shared" si="1"/>
        <v/>
      </c>
      <c r="I34" s="330"/>
      <c r="K34" s="254"/>
      <c r="L34" s="254"/>
      <c r="M34" s="332"/>
      <c r="N34" s="254"/>
      <c r="O34" s="254"/>
      <c r="P34" s="254"/>
    </row>
    <row r="35" spans="1:16" ht="16" thickBot="1" x14ac:dyDescent="0.4">
      <c r="A35" s="833"/>
      <c r="B35" s="330"/>
      <c r="C35" s="445"/>
      <c r="D35" s="449"/>
      <c r="E35" s="430"/>
      <c r="F35" s="430"/>
      <c r="G35" s="448" t="str">
        <f t="shared" si="0"/>
        <v/>
      </c>
      <c r="H35" s="448" t="str">
        <f t="shared" si="1"/>
        <v/>
      </c>
      <c r="I35" s="330"/>
      <c r="K35" s="254"/>
      <c r="L35" s="254"/>
      <c r="M35" s="332"/>
      <c r="N35" s="254"/>
      <c r="O35" s="254"/>
      <c r="P35" s="254"/>
    </row>
    <row r="36" spans="1:16" ht="16" thickBot="1" x14ac:dyDescent="0.4">
      <c r="A36" s="833"/>
      <c r="B36" s="330"/>
      <c r="C36" s="445"/>
      <c r="D36" s="449"/>
      <c r="E36" s="430"/>
      <c r="F36" s="430"/>
      <c r="G36" s="448" t="str">
        <f t="shared" si="0"/>
        <v/>
      </c>
      <c r="H36" s="448" t="str">
        <f t="shared" si="1"/>
        <v/>
      </c>
      <c r="I36" s="330"/>
      <c r="K36" s="254"/>
      <c r="L36" s="254"/>
      <c r="M36" s="332"/>
      <c r="N36" s="254"/>
      <c r="O36" s="254"/>
      <c r="P36" s="254"/>
    </row>
    <row r="37" spans="1:16" ht="16" thickBot="1" x14ac:dyDescent="0.4">
      <c r="A37" s="833"/>
      <c r="B37" s="330"/>
      <c r="C37" s="445"/>
      <c r="D37" s="449"/>
      <c r="E37" s="430"/>
      <c r="F37" s="430"/>
      <c r="G37" s="448" t="str">
        <f t="shared" si="0"/>
        <v/>
      </c>
      <c r="H37" s="448" t="str">
        <f t="shared" si="1"/>
        <v/>
      </c>
      <c r="I37" s="330"/>
      <c r="K37" s="254"/>
      <c r="L37" s="254"/>
      <c r="M37" s="332"/>
      <c r="N37" s="254"/>
      <c r="O37" s="254"/>
      <c r="P37" s="254"/>
    </row>
    <row r="38" spans="1:16" ht="16" thickBot="1" x14ac:dyDescent="0.4">
      <c r="A38" s="833"/>
      <c r="B38" s="330"/>
      <c r="C38" s="445"/>
      <c r="D38" s="449"/>
      <c r="E38" s="430"/>
      <c r="F38" s="430"/>
      <c r="G38" s="448" t="str">
        <f t="shared" si="0"/>
        <v/>
      </c>
      <c r="H38" s="448" t="str">
        <f t="shared" si="1"/>
        <v/>
      </c>
      <c r="I38" s="330"/>
      <c r="K38" s="254"/>
      <c r="L38" s="254"/>
      <c r="M38" s="332"/>
      <c r="N38" s="254"/>
      <c r="O38" s="254"/>
      <c r="P38" s="254"/>
    </row>
    <row r="39" spans="1:16" ht="16" thickBot="1" x14ac:dyDescent="0.4">
      <c r="A39" s="833"/>
      <c r="B39" s="330"/>
      <c r="C39" s="445"/>
      <c r="D39" s="449"/>
      <c r="E39" s="430"/>
      <c r="F39" s="430"/>
      <c r="G39" s="448" t="str">
        <f t="shared" si="0"/>
        <v/>
      </c>
      <c r="H39" s="448" t="str">
        <f t="shared" si="1"/>
        <v/>
      </c>
      <c r="I39" s="330"/>
      <c r="K39" s="254"/>
      <c r="L39" s="254"/>
      <c r="M39" s="332"/>
      <c r="N39" s="254"/>
      <c r="O39" s="254"/>
      <c r="P39" s="254"/>
    </row>
    <row r="40" spans="1:16" ht="16" thickBot="1" x14ac:dyDescent="0.4">
      <c r="A40" s="833"/>
      <c r="B40" s="330"/>
      <c r="C40" s="445"/>
      <c r="D40" s="449"/>
      <c r="E40" s="430"/>
      <c r="F40" s="430"/>
      <c r="G40" s="448" t="str">
        <f t="shared" si="0"/>
        <v/>
      </c>
      <c r="H40" s="448" t="str">
        <f t="shared" si="1"/>
        <v/>
      </c>
      <c r="I40" s="330"/>
      <c r="K40" s="254"/>
      <c r="L40" s="254"/>
      <c r="M40" s="332"/>
      <c r="N40" s="254"/>
      <c r="O40" s="254"/>
      <c r="P40" s="254"/>
    </row>
    <row r="41" spans="1:16" ht="16" thickBot="1" x14ac:dyDescent="0.4">
      <c r="A41" s="833"/>
      <c r="B41" s="330"/>
      <c r="C41" s="445"/>
      <c r="D41" s="449"/>
      <c r="E41" s="430"/>
      <c r="F41" s="430"/>
      <c r="G41" s="448" t="str">
        <f t="shared" si="0"/>
        <v/>
      </c>
      <c r="H41" s="448" t="str">
        <f t="shared" si="1"/>
        <v/>
      </c>
      <c r="I41" s="330"/>
      <c r="K41" s="254"/>
      <c r="L41" s="254"/>
      <c r="M41" s="332"/>
      <c r="N41" s="254"/>
      <c r="O41" s="254"/>
      <c r="P41" s="254"/>
    </row>
    <row r="42" spans="1:16" ht="16" thickBot="1" x14ac:dyDescent="0.4">
      <c r="A42" s="833"/>
      <c r="B42" s="330"/>
      <c r="C42" s="445"/>
      <c r="D42" s="449"/>
      <c r="E42" s="430"/>
      <c r="F42" s="430"/>
      <c r="G42" s="448" t="str">
        <f t="shared" si="0"/>
        <v/>
      </c>
      <c r="H42" s="448" t="str">
        <f t="shared" si="1"/>
        <v/>
      </c>
      <c r="I42" s="330"/>
      <c r="K42" s="254"/>
      <c r="L42" s="254"/>
      <c r="M42" s="332"/>
      <c r="N42" s="254"/>
      <c r="O42" s="254"/>
      <c r="P42" s="254"/>
    </row>
    <row r="43" spans="1:16" ht="16" thickBot="1" x14ac:dyDescent="0.4">
      <c r="A43" s="833"/>
      <c r="B43" s="330"/>
      <c r="C43" s="445"/>
      <c r="D43" s="449"/>
      <c r="E43" s="430"/>
      <c r="F43" s="430"/>
      <c r="G43" s="448" t="str">
        <f t="shared" si="0"/>
        <v/>
      </c>
      <c r="H43" s="448" t="str">
        <f t="shared" si="1"/>
        <v/>
      </c>
      <c r="I43" s="330"/>
      <c r="K43" s="254"/>
      <c r="L43" s="254"/>
      <c r="M43" s="332"/>
      <c r="N43" s="254"/>
      <c r="O43" s="254"/>
      <c r="P43" s="254"/>
    </row>
    <row r="44" spans="1:16" ht="16" thickBot="1" x14ac:dyDescent="0.4">
      <c r="A44" s="833"/>
      <c r="B44" s="330"/>
      <c r="C44" s="445"/>
      <c r="D44" s="449"/>
      <c r="E44" s="430"/>
      <c r="F44" s="430"/>
      <c r="G44" s="448" t="str">
        <f t="shared" si="0"/>
        <v/>
      </c>
      <c r="H44" s="448" t="str">
        <f t="shared" si="1"/>
        <v/>
      </c>
      <c r="I44" s="330"/>
      <c r="K44" s="254"/>
      <c r="L44" s="254"/>
      <c r="M44" s="332"/>
      <c r="N44" s="254"/>
      <c r="O44" s="254"/>
      <c r="P44" s="254"/>
    </row>
    <row r="45" spans="1:16" ht="16" thickBot="1" x14ac:dyDescent="0.4">
      <c r="A45" s="833"/>
      <c r="B45" s="330"/>
      <c r="C45" s="445"/>
      <c r="D45" s="449"/>
      <c r="E45" s="430"/>
      <c r="F45" s="430"/>
      <c r="G45" s="448" t="str">
        <f t="shared" si="0"/>
        <v/>
      </c>
      <c r="H45" s="448" t="str">
        <f t="shared" si="1"/>
        <v/>
      </c>
      <c r="I45" s="330"/>
      <c r="K45" s="254"/>
      <c r="L45" s="254"/>
      <c r="M45" s="332"/>
      <c r="N45" s="254"/>
      <c r="O45" s="254"/>
      <c r="P45" s="254"/>
    </row>
    <row r="46" spans="1:16" ht="16" thickBot="1" x14ac:dyDescent="0.4">
      <c r="A46" s="833"/>
      <c r="B46" s="330"/>
      <c r="C46" s="445"/>
      <c r="D46" s="449"/>
      <c r="E46" s="430"/>
      <c r="F46" s="430"/>
      <c r="G46" s="448" t="str">
        <f t="shared" si="0"/>
        <v/>
      </c>
      <c r="H46" s="448" t="str">
        <f t="shared" si="1"/>
        <v/>
      </c>
      <c r="I46" s="330"/>
      <c r="K46" s="254"/>
      <c r="L46" s="254"/>
      <c r="M46" s="332"/>
      <c r="N46" s="254"/>
      <c r="O46" s="254"/>
      <c r="P46" s="254"/>
    </row>
    <row r="47" spans="1:16" ht="16" thickBot="1" x14ac:dyDescent="0.4">
      <c r="A47" s="833"/>
      <c r="B47" s="330"/>
      <c r="C47" s="445"/>
      <c r="D47" s="449"/>
      <c r="E47" s="430"/>
      <c r="F47" s="430"/>
      <c r="G47" s="448" t="str">
        <f t="shared" si="0"/>
        <v/>
      </c>
      <c r="H47" s="448" t="str">
        <f t="shared" si="1"/>
        <v/>
      </c>
      <c r="I47" s="330"/>
      <c r="K47" s="254"/>
      <c r="L47" s="254"/>
      <c r="M47" s="332"/>
      <c r="N47" s="254"/>
      <c r="O47" s="254"/>
      <c r="P47" s="254"/>
    </row>
    <row r="48" spans="1:16" ht="16" thickBot="1" x14ac:dyDescent="0.4">
      <c r="A48" s="833"/>
      <c r="B48" s="330"/>
      <c r="C48" s="445"/>
      <c r="D48" s="449"/>
      <c r="E48" s="430"/>
      <c r="F48" s="430"/>
      <c r="G48" s="448" t="str">
        <f t="shared" si="0"/>
        <v/>
      </c>
      <c r="H48" s="448" t="str">
        <f t="shared" si="1"/>
        <v/>
      </c>
      <c r="I48" s="330"/>
      <c r="K48" s="254"/>
      <c r="L48" s="254"/>
      <c r="M48" s="332"/>
      <c r="N48" s="254"/>
      <c r="O48" s="254"/>
      <c r="P48" s="254"/>
    </row>
    <row r="49" spans="1:16" ht="16" thickBot="1" x14ac:dyDescent="0.4">
      <c r="A49" s="833"/>
      <c r="B49" s="330"/>
      <c r="C49" s="445"/>
      <c r="D49" s="449"/>
      <c r="E49" s="430"/>
      <c r="F49" s="430"/>
      <c r="G49" s="448" t="str">
        <f t="shared" si="0"/>
        <v/>
      </c>
      <c r="H49" s="448" t="str">
        <f t="shared" si="1"/>
        <v/>
      </c>
      <c r="I49" s="330"/>
      <c r="K49" s="254"/>
      <c r="L49" s="254"/>
      <c r="M49" s="332"/>
      <c r="N49" s="254"/>
      <c r="O49" s="254"/>
      <c r="P49" s="254"/>
    </row>
    <row r="50" spans="1:16" ht="16" thickBot="1" x14ac:dyDescent="0.4">
      <c r="A50" s="833"/>
      <c r="B50" s="330"/>
      <c r="C50" s="445"/>
      <c r="D50" s="449"/>
      <c r="E50" s="430"/>
      <c r="F50" s="430"/>
      <c r="G50" s="448" t="str">
        <f t="shared" si="0"/>
        <v/>
      </c>
      <c r="H50" s="448" t="str">
        <f t="shared" si="1"/>
        <v/>
      </c>
      <c r="I50" s="330"/>
      <c r="K50" s="254"/>
      <c r="L50" s="254"/>
      <c r="M50" s="332"/>
      <c r="N50" s="254"/>
      <c r="O50" s="254"/>
      <c r="P50" s="254"/>
    </row>
    <row r="51" spans="1:16" ht="16" thickBot="1" x14ac:dyDescent="0.4">
      <c r="A51" s="833"/>
      <c r="B51" s="330"/>
      <c r="C51" s="445"/>
      <c r="D51" s="449"/>
      <c r="E51" s="430"/>
      <c r="F51" s="430"/>
      <c r="G51" s="448" t="str">
        <f t="shared" si="0"/>
        <v/>
      </c>
      <c r="H51" s="448" t="str">
        <f t="shared" si="1"/>
        <v/>
      </c>
      <c r="I51" s="330"/>
      <c r="K51" s="254"/>
      <c r="L51" s="254"/>
      <c r="M51" s="332"/>
      <c r="N51" s="254"/>
      <c r="O51" s="254"/>
      <c r="P51" s="254"/>
    </row>
    <row r="52" spans="1:16" ht="16" thickBot="1" x14ac:dyDescent="0.4">
      <c r="A52" s="833"/>
      <c r="B52" s="330"/>
      <c r="C52" s="445"/>
      <c r="D52" s="449"/>
      <c r="E52" s="430"/>
      <c r="F52" s="430"/>
      <c r="G52" s="448" t="str">
        <f t="shared" si="0"/>
        <v/>
      </c>
      <c r="H52" s="448" t="str">
        <f t="shared" si="1"/>
        <v/>
      </c>
      <c r="I52" s="330"/>
      <c r="K52" s="254"/>
      <c r="L52" s="254"/>
      <c r="M52" s="332"/>
      <c r="N52" s="254"/>
      <c r="O52" s="254"/>
      <c r="P52" s="254"/>
    </row>
    <row r="53" spans="1:16" ht="16" thickBot="1" x14ac:dyDescent="0.4">
      <c r="A53" s="833"/>
      <c r="B53" s="330"/>
      <c r="C53" s="445"/>
      <c r="D53" s="449"/>
      <c r="E53" s="430"/>
      <c r="F53" s="430"/>
      <c r="G53" s="448" t="str">
        <f t="shared" si="0"/>
        <v/>
      </c>
      <c r="H53" s="448" t="str">
        <f t="shared" si="1"/>
        <v/>
      </c>
      <c r="I53" s="330"/>
      <c r="K53" s="254"/>
      <c r="L53" s="254"/>
      <c r="M53" s="332"/>
      <c r="N53" s="254"/>
      <c r="O53" s="254"/>
      <c r="P53" s="254"/>
    </row>
    <row r="54" spans="1:16" ht="9" customHeight="1" thickBot="1" x14ac:dyDescent="0.4">
      <c r="A54" s="833"/>
      <c r="B54" s="330"/>
      <c r="C54" s="330"/>
      <c r="D54" s="330"/>
      <c r="E54" s="330"/>
      <c r="F54" s="330"/>
      <c r="G54" s="330"/>
      <c r="H54" s="450" t="str">
        <f>IF(VSK&lt;&gt;0, SUM(H31:H53),"")</f>
        <v/>
      </c>
      <c r="I54" s="330"/>
      <c r="K54" s="254"/>
      <c r="L54" s="254"/>
      <c r="M54" s="332"/>
      <c r="N54" s="254"/>
      <c r="O54" s="254"/>
      <c r="P54" s="254"/>
    </row>
    <row r="55" spans="1:16" ht="15" customHeight="1" x14ac:dyDescent="0.35">
      <c r="A55" s="833"/>
      <c r="B55" s="46"/>
      <c r="C55" s="317"/>
      <c r="D55" s="318"/>
      <c r="E55" s="317"/>
      <c r="F55" s="592" t="s">
        <v>633</v>
      </c>
      <c r="G55" s="317"/>
      <c r="H55" s="319"/>
      <c r="I55" s="47"/>
      <c r="K55" s="254"/>
      <c r="L55" s="254"/>
      <c r="M55" s="332"/>
      <c r="N55" s="254"/>
      <c r="O55" s="254"/>
      <c r="P55" s="254"/>
    </row>
    <row r="56" spans="1:16" ht="15.5" x14ac:dyDescent="0.35">
      <c r="A56" s="833"/>
      <c r="B56" s="46"/>
      <c r="C56" s="47" t="s">
        <v>34</v>
      </c>
      <c r="D56" s="47"/>
      <c r="E56" s="320"/>
      <c r="F56" s="899"/>
      <c r="G56" s="900"/>
      <c r="H56" s="901"/>
      <c r="I56" s="47"/>
      <c r="K56" s="254"/>
      <c r="L56" s="254"/>
      <c r="M56" s="332"/>
      <c r="N56" s="254"/>
      <c r="O56" s="254"/>
      <c r="P56" s="254"/>
    </row>
    <row r="57" spans="1:16" ht="15.5" x14ac:dyDescent="0.35">
      <c r="A57" s="833"/>
      <c r="B57" s="46"/>
      <c r="C57" s="47" t="s">
        <v>722</v>
      </c>
      <c r="D57" s="47"/>
      <c r="E57" s="604"/>
      <c r="F57" s="868"/>
      <c r="G57" s="895"/>
      <c r="H57" s="869"/>
      <c r="I57" s="47"/>
      <c r="K57" s="254"/>
      <c r="L57" s="254"/>
      <c r="M57" s="254"/>
      <c r="N57" s="254"/>
      <c r="O57" s="254"/>
      <c r="P57" s="254"/>
    </row>
    <row r="58" spans="1:16" ht="9" customHeight="1" x14ac:dyDescent="0.35">
      <c r="A58" s="833"/>
      <c r="B58" s="46"/>
      <c r="C58" s="47"/>
      <c r="D58" s="47"/>
      <c r="E58" s="53"/>
      <c r="F58" s="47"/>
      <c r="G58" s="46"/>
      <c r="H58" s="46"/>
      <c r="I58" s="45"/>
    </row>
    <row r="59" spans="1:16" ht="17.25" customHeight="1" x14ac:dyDescent="0.5">
      <c r="A59" s="833"/>
      <c r="B59" s="45"/>
      <c r="C59" s="54" t="str">
        <f>IF(VSK=0, "UNVOLLSTÄNDIG AUSGEFÜLLT!","")</f>
        <v>UNVOLLSTÄNDIG AUSGEFÜLLT!</v>
      </c>
      <c r="D59" s="45"/>
      <c r="E59" s="438">
        <f>IF(SUM(H31:H53)&gt;0,1,0)</f>
        <v>0</v>
      </c>
      <c r="F59" s="45"/>
      <c r="G59" s="852" t="str">
        <f>IF(VSK&lt;&gt;0, G104,"")</f>
        <v/>
      </c>
      <c r="H59" s="852"/>
      <c r="I59" s="45"/>
    </row>
    <row r="60" spans="1:16" ht="15.5" x14ac:dyDescent="0.35">
      <c r="A60" s="833"/>
      <c r="B60" s="45"/>
      <c r="C60" s="45"/>
      <c r="D60" s="45"/>
      <c r="E60" s="45"/>
      <c r="F60" s="45"/>
      <c r="G60" s="45"/>
      <c r="H60" s="45"/>
      <c r="I60" s="45"/>
      <c r="P60" s="254"/>
    </row>
    <row r="61" spans="1:16" ht="15.5" x14ac:dyDescent="0.35">
      <c r="A61" s="833"/>
      <c r="I61" s="577" t="str">
        <f ca="1">IF(VLOOKUP(B67,CHOOSE({5,4,3,2,1},Gesamt!L32:L65,Gesamt!M32:M65,Gesamt!N32:N65,Gesamt!O32:O65,Gesamt!P32:P65,),4,0)&gt;0,CONCATENATE("Pos. ",VLOOKUP(B67,CHOOSE({5,4,3,2,1},Gesamt!L32:L65,Gesamt!M32:M65,Gesamt!N32:N65,Gesamt!O32:O65,Gesamt!P32:P65,),VLOOKUP(Gesamt!C19,Gesamt!L5:N7,3,0),0)),"")</f>
        <v/>
      </c>
    </row>
    <row r="62" spans="1:16" ht="15" customHeight="1" x14ac:dyDescent="0.35">
      <c r="A62" s="830" t="s">
        <v>66</v>
      </c>
      <c r="B62" s="831" t="str">
        <f>CONCATENATE(Gesamt!C2, ": ", Gesamt!E2)</f>
        <v xml:space="preserve">Projekt: </v>
      </c>
      <c r="C62" s="831"/>
      <c r="D62" s="831"/>
      <c r="E62" s="831"/>
      <c r="F62" s="831"/>
      <c r="G62" s="831"/>
      <c r="H62" s="831"/>
      <c r="I62" s="831"/>
    </row>
    <row r="63" spans="1:16" x14ac:dyDescent="0.35">
      <c r="A63" s="830"/>
      <c r="B63" s="832" t="str">
        <f>CONCATENATE(Gesamt!C4, ": ", Gesamt!E4, IF(Gesamt!E5&lt;&gt;""," - ",""), IF(Gesamt!E5&lt;&gt;"",Gesamt!E5,""), IF(Gesamt!E6&lt;&gt;""," - GZ. ",""), IF(Gesamt!E6&lt;&gt;"",Gesamt!E6,""),)</f>
        <v xml:space="preserve">Auftraggeber: </v>
      </c>
      <c r="C63" s="832"/>
      <c r="D63" s="832"/>
      <c r="E63" s="832"/>
      <c r="F63" s="832"/>
      <c r="G63" s="832"/>
      <c r="H63" s="832"/>
      <c r="I63" s="832"/>
    </row>
    <row r="64" spans="1:16" x14ac:dyDescent="0.35">
      <c r="A64" s="830"/>
      <c r="B64" s="832" t="str">
        <f>CONCATENATE(Gesamt!C9, ": ",Gesamt!E9,  IF(Gesamt!C10&lt;&gt;""," - ",""), IF(Gesamt!C10&lt;&gt;"",Gesamt!E10,""), IF(Gesamt!C11&lt;&gt;""," - GZ. ",""), IF(Gesamt!C11&lt;&gt;"",Gesamt!E11,""), )</f>
        <v xml:space="preserve">Bieter:  -  - GZ. </v>
      </c>
      <c r="C64" s="832"/>
      <c r="D64" s="832"/>
      <c r="E64" s="832"/>
      <c r="F64" s="832"/>
      <c r="G64" s="832"/>
      <c r="H64" s="832"/>
      <c r="I64" s="832"/>
    </row>
    <row r="65" spans="1:15" x14ac:dyDescent="0.35">
      <c r="A65" s="830"/>
      <c r="B65" s="832" t="s">
        <v>41</v>
      </c>
      <c r="C65" s="832"/>
      <c r="D65" s="832"/>
      <c r="E65" s="832"/>
      <c r="F65" s="832"/>
      <c r="G65" s="832"/>
      <c r="H65" s="832"/>
      <c r="I65" s="832"/>
    </row>
    <row r="66" spans="1:15" x14ac:dyDescent="0.35">
      <c r="A66" s="830"/>
    </row>
    <row r="67" spans="1:15" ht="18.5" x14ac:dyDescent="0.35">
      <c r="A67" s="830"/>
      <c r="B67" s="843" t="str">
        <f>C2</f>
        <v>Regieleistung  D</v>
      </c>
      <c r="C67" s="843"/>
      <c r="D67" s="843"/>
      <c r="E67" s="843"/>
      <c r="F67" s="843"/>
      <c r="G67" s="843"/>
      <c r="H67" s="843"/>
      <c r="I67" s="843"/>
    </row>
    <row r="68" spans="1:15" x14ac:dyDescent="0.35">
      <c r="A68" s="830"/>
    </row>
    <row r="69" spans="1:15" x14ac:dyDescent="0.35">
      <c r="A69" s="830"/>
      <c r="B69" s="708"/>
      <c r="C69" s="708" t="s">
        <v>698</v>
      </c>
      <c r="D69" s="708"/>
      <c r="E69" s="708"/>
      <c r="F69" s="708"/>
      <c r="G69" s="708"/>
      <c r="H69" s="708"/>
    </row>
    <row r="70" spans="1:15" ht="7.5" customHeight="1" x14ac:dyDescent="0.35">
      <c r="A70" s="830"/>
      <c r="B70" s="708"/>
      <c r="C70" s="708"/>
      <c r="D70" s="708"/>
      <c r="E70" s="708"/>
      <c r="F70" s="708"/>
      <c r="G70" s="708"/>
      <c r="H70" s="708"/>
    </row>
    <row r="71" spans="1:15" ht="17.25" customHeight="1" x14ac:dyDescent="0.35">
      <c r="A71" s="830"/>
      <c r="B71" s="708"/>
      <c r="C71" s="708" t="s">
        <v>959</v>
      </c>
      <c r="D71" s="708"/>
      <c r="E71" s="709">
        <f>IS</f>
        <v>0</v>
      </c>
      <c r="F71" s="708"/>
      <c r="G71" s="708"/>
      <c r="H71" s="708"/>
    </row>
    <row r="72" spans="1:15" ht="6.75" customHeight="1" x14ac:dyDescent="0.35">
      <c r="A72" s="830"/>
      <c r="B72" s="708"/>
      <c r="C72" s="710"/>
      <c r="D72" s="708"/>
      <c r="E72" s="708"/>
      <c r="F72" s="708"/>
      <c r="G72" s="708"/>
      <c r="H72" s="708"/>
    </row>
    <row r="73" spans="1:15" ht="68.25" customHeight="1" x14ac:dyDescent="0.35">
      <c r="A73" s="830"/>
      <c r="C73" s="994" t="str">
        <f>C4</f>
        <v xml:space="preserve">Leistungsbeschreibung 
</v>
      </c>
      <c r="D73" s="994"/>
      <c r="E73" s="994"/>
      <c r="F73" s="994"/>
      <c r="G73" s="994"/>
      <c r="H73" s="994"/>
    </row>
    <row r="74" spans="1:15" ht="6.75" customHeight="1" x14ac:dyDescent="0.35">
      <c r="A74" s="830"/>
      <c r="C74" s="15"/>
    </row>
    <row r="75" spans="1:15" ht="14.25" customHeight="1" x14ac:dyDescent="0.35">
      <c r="A75" s="830"/>
      <c r="C75" s="442" t="s">
        <v>618</v>
      </c>
      <c r="D75" s="442" t="s">
        <v>619</v>
      </c>
      <c r="E75" s="443" t="s">
        <v>617</v>
      </c>
      <c r="F75" s="443" t="s">
        <v>620</v>
      </c>
      <c r="G75" s="443" t="s">
        <v>601</v>
      </c>
      <c r="H75" s="443" t="s">
        <v>616</v>
      </c>
    </row>
    <row r="76" spans="1:15" x14ac:dyDescent="0.35">
      <c r="A76" s="830"/>
      <c r="C76" s="446" t="str">
        <f t="shared" ref="C76:H76" si="2">IF(C31&lt;&gt;"",C31,"")</f>
        <v/>
      </c>
      <c r="D76" s="440" t="str">
        <f t="shared" si="2"/>
        <v/>
      </c>
      <c r="E76" s="439" t="str">
        <f t="shared" si="2"/>
        <v/>
      </c>
      <c r="F76" s="439" t="str">
        <f t="shared" si="2"/>
        <v/>
      </c>
      <c r="G76" s="444" t="str">
        <f t="shared" si="2"/>
        <v/>
      </c>
      <c r="H76" s="441" t="str">
        <f t="shared" si="2"/>
        <v/>
      </c>
    </row>
    <row r="77" spans="1:15" x14ac:dyDescent="0.35">
      <c r="A77" s="830"/>
      <c r="C77" s="446" t="str">
        <f t="shared" ref="C77:H92" si="3">IF(C32&lt;&gt;"",C32,"")</f>
        <v/>
      </c>
      <c r="D77" s="440" t="str">
        <f t="shared" si="3"/>
        <v/>
      </c>
      <c r="E77" s="439" t="str">
        <f t="shared" si="3"/>
        <v/>
      </c>
      <c r="F77" s="439" t="str">
        <f t="shared" si="3"/>
        <v/>
      </c>
      <c r="G77" s="444" t="str">
        <f t="shared" si="3"/>
        <v/>
      </c>
      <c r="H77" s="441" t="str">
        <f t="shared" si="3"/>
        <v/>
      </c>
      <c r="K77" s="835" t="s">
        <v>626</v>
      </c>
      <c r="L77" s="879"/>
      <c r="M77" s="879"/>
      <c r="N77" s="879"/>
      <c r="O77" s="880"/>
    </row>
    <row r="78" spans="1:15" x14ac:dyDescent="0.35">
      <c r="A78" s="830"/>
      <c r="C78" s="446" t="str">
        <f t="shared" si="3"/>
        <v/>
      </c>
      <c r="D78" s="440" t="str">
        <f t="shared" si="3"/>
        <v/>
      </c>
      <c r="E78" s="439" t="str">
        <f t="shared" si="3"/>
        <v/>
      </c>
      <c r="F78" s="439" t="str">
        <f t="shared" si="3"/>
        <v/>
      </c>
      <c r="G78" s="444" t="str">
        <f t="shared" si="3"/>
        <v/>
      </c>
      <c r="H78" s="441" t="str">
        <f t="shared" si="3"/>
        <v/>
      </c>
      <c r="K78" s="881"/>
      <c r="L78" s="882"/>
      <c r="M78" s="882"/>
      <c r="N78" s="882"/>
      <c r="O78" s="883"/>
    </row>
    <row r="79" spans="1:15" x14ac:dyDescent="0.35">
      <c r="A79" s="830"/>
      <c r="C79" s="446" t="str">
        <f t="shared" si="3"/>
        <v/>
      </c>
      <c r="D79" s="440" t="str">
        <f t="shared" si="3"/>
        <v/>
      </c>
      <c r="E79" s="439" t="str">
        <f t="shared" si="3"/>
        <v/>
      </c>
      <c r="F79" s="439" t="str">
        <f t="shared" si="3"/>
        <v/>
      </c>
      <c r="G79" s="444" t="str">
        <f t="shared" si="3"/>
        <v/>
      </c>
      <c r="H79" s="441" t="str">
        <f t="shared" si="3"/>
        <v/>
      </c>
      <c r="K79" s="881"/>
      <c r="L79" s="882"/>
      <c r="M79" s="882"/>
      <c r="N79" s="882"/>
      <c r="O79" s="883"/>
    </row>
    <row r="80" spans="1:15" x14ac:dyDescent="0.35">
      <c r="A80" s="830"/>
      <c r="C80" s="446" t="str">
        <f t="shared" si="3"/>
        <v/>
      </c>
      <c r="D80" s="440" t="str">
        <f t="shared" si="3"/>
        <v/>
      </c>
      <c r="E80" s="439" t="str">
        <f t="shared" si="3"/>
        <v/>
      </c>
      <c r="F80" s="439" t="str">
        <f t="shared" si="3"/>
        <v/>
      </c>
      <c r="G80" s="444" t="str">
        <f t="shared" si="3"/>
        <v/>
      </c>
      <c r="H80" s="441" t="str">
        <f t="shared" si="3"/>
        <v/>
      </c>
      <c r="K80" s="881"/>
      <c r="L80" s="882"/>
      <c r="M80" s="882"/>
      <c r="N80" s="882"/>
      <c r="O80" s="883"/>
    </row>
    <row r="81" spans="1:15" x14ac:dyDescent="0.35">
      <c r="A81" s="830"/>
      <c r="C81" s="446" t="str">
        <f t="shared" si="3"/>
        <v/>
      </c>
      <c r="D81" s="440" t="str">
        <f t="shared" si="3"/>
        <v/>
      </c>
      <c r="E81" s="439" t="str">
        <f t="shared" si="3"/>
        <v/>
      </c>
      <c r="F81" s="439" t="str">
        <f t="shared" si="3"/>
        <v/>
      </c>
      <c r="G81" s="444" t="str">
        <f t="shared" si="3"/>
        <v/>
      </c>
      <c r="H81" s="441" t="str">
        <f t="shared" si="3"/>
        <v/>
      </c>
      <c r="K81" s="884"/>
      <c r="L81" s="885"/>
      <c r="M81" s="885"/>
      <c r="N81" s="885"/>
      <c r="O81" s="886"/>
    </row>
    <row r="82" spans="1:15" x14ac:dyDescent="0.35">
      <c r="A82" s="830"/>
      <c r="C82" s="446" t="str">
        <f t="shared" si="3"/>
        <v/>
      </c>
      <c r="D82" s="440" t="str">
        <f t="shared" si="3"/>
        <v/>
      </c>
      <c r="E82" s="439" t="str">
        <f t="shared" si="3"/>
        <v/>
      </c>
      <c r="F82" s="439" t="str">
        <f t="shared" si="3"/>
        <v/>
      </c>
      <c r="G82" s="444" t="str">
        <f t="shared" si="3"/>
        <v/>
      </c>
      <c r="H82" s="441" t="str">
        <f t="shared" si="3"/>
        <v/>
      </c>
    </row>
    <row r="83" spans="1:15" x14ac:dyDescent="0.35">
      <c r="A83" s="830"/>
      <c r="C83" s="446" t="str">
        <f t="shared" si="3"/>
        <v/>
      </c>
      <c r="D83" s="440" t="str">
        <f t="shared" si="3"/>
        <v/>
      </c>
      <c r="E83" s="439" t="str">
        <f t="shared" si="3"/>
        <v/>
      </c>
      <c r="F83" s="439" t="str">
        <f t="shared" si="3"/>
        <v/>
      </c>
      <c r="G83" s="444" t="str">
        <f t="shared" si="3"/>
        <v/>
      </c>
      <c r="H83" s="441" t="str">
        <f t="shared" si="3"/>
        <v/>
      </c>
    </row>
    <row r="84" spans="1:15" x14ac:dyDescent="0.35">
      <c r="A84" s="830"/>
      <c r="C84" s="446" t="str">
        <f t="shared" si="3"/>
        <v/>
      </c>
      <c r="D84" s="440" t="str">
        <f t="shared" si="3"/>
        <v/>
      </c>
      <c r="E84" s="439" t="str">
        <f t="shared" si="3"/>
        <v/>
      </c>
      <c r="F84" s="439" t="str">
        <f t="shared" si="3"/>
        <v/>
      </c>
      <c r="G84" s="444" t="str">
        <f t="shared" si="3"/>
        <v/>
      </c>
      <c r="H84" s="441" t="str">
        <f t="shared" si="3"/>
        <v/>
      </c>
    </row>
    <row r="85" spans="1:15" x14ac:dyDescent="0.35">
      <c r="A85" s="830"/>
      <c r="C85" s="446" t="str">
        <f t="shared" si="3"/>
        <v/>
      </c>
      <c r="D85" s="440" t="str">
        <f t="shared" si="3"/>
        <v/>
      </c>
      <c r="E85" s="439" t="str">
        <f t="shared" si="3"/>
        <v/>
      </c>
      <c r="F85" s="439" t="str">
        <f t="shared" si="3"/>
        <v/>
      </c>
      <c r="G85" s="444" t="str">
        <f t="shared" si="3"/>
        <v/>
      </c>
      <c r="H85" s="441" t="str">
        <f t="shared" si="3"/>
        <v/>
      </c>
    </row>
    <row r="86" spans="1:15" x14ac:dyDescent="0.35">
      <c r="A86" s="830"/>
      <c r="C86" s="446" t="str">
        <f t="shared" si="3"/>
        <v/>
      </c>
      <c r="D86" s="440" t="str">
        <f t="shared" si="3"/>
        <v/>
      </c>
      <c r="E86" s="439" t="str">
        <f t="shared" si="3"/>
        <v/>
      </c>
      <c r="F86" s="439" t="str">
        <f t="shared" si="3"/>
        <v/>
      </c>
      <c r="G86" s="444" t="str">
        <f t="shared" si="3"/>
        <v/>
      </c>
      <c r="H86" s="441" t="str">
        <f t="shared" si="3"/>
        <v/>
      </c>
    </row>
    <row r="87" spans="1:15" x14ac:dyDescent="0.35">
      <c r="A87" s="830"/>
      <c r="C87" s="446" t="str">
        <f t="shared" si="3"/>
        <v/>
      </c>
      <c r="D87" s="440" t="str">
        <f t="shared" si="3"/>
        <v/>
      </c>
      <c r="E87" s="439" t="str">
        <f t="shared" si="3"/>
        <v/>
      </c>
      <c r="F87" s="439" t="str">
        <f t="shared" si="3"/>
        <v/>
      </c>
      <c r="G87" s="444" t="str">
        <f t="shared" si="3"/>
        <v/>
      </c>
      <c r="H87" s="441" t="str">
        <f t="shared" si="3"/>
        <v/>
      </c>
    </row>
    <row r="88" spans="1:15" x14ac:dyDescent="0.35">
      <c r="A88" s="830"/>
      <c r="C88" s="446" t="str">
        <f t="shared" si="3"/>
        <v/>
      </c>
      <c r="D88" s="440" t="str">
        <f t="shared" si="3"/>
        <v/>
      </c>
      <c r="E88" s="439" t="str">
        <f t="shared" si="3"/>
        <v/>
      </c>
      <c r="F88" s="439" t="str">
        <f t="shared" si="3"/>
        <v/>
      </c>
      <c r="G88" s="444" t="str">
        <f t="shared" si="3"/>
        <v/>
      </c>
      <c r="H88" s="441" t="str">
        <f t="shared" si="3"/>
        <v/>
      </c>
    </row>
    <row r="89" spans="1:15" x14ac:dyDescent="0.35">
      <c r="A89" s="830"/>
      <c r="C89" s="446" t="str">
        <f t="shared" si="3"/>
        <v/>
      </c>
      <c r="D89" s="440" t="str">
        <f t="shared" si="3"/>
        <v/>
      </c>
      <c r="E89" s="439" t="str">
        <f t="shared" si="3"/>
        <v/>
      </c>
      <c r="F89" s="439" t="str">
        <f t="shared" si="3"/>
        <v/>
      </c>
      <c r="G89" s="444" t="str">
        <f t="shared" si="3"/>
        <v/>
      </c>
      <c r="H89" s="441" t="str">
        <f t="shared" si="3"/>
        <v/>
      </c>
    </row>
    <row r="90" spans="1:15" x14ac:dyDescent="0.35">
      <c r="A90" s="830"/>
      <c r="C90" s="446" t="str">
        <f t="shared" si="3"/>
        <v/>
      </c>
      <c r="D90" s="440" t="str">
        <f t="shared" si="3"/>
        <v/>
      </c>
      <c r="E90" s="439" t="str">
        <f t="shared" si="3"/>
        <v/>
      </c>
      <c r="F90" s="439" t="str">
        <f t="shared" si="3"/>
        <v/>
      </c>
      <c r="G90" s="444" t="str">
        <f t="shared" si="3"/>
        <v/>
      </c>
      <c r="H90" s="441" t="str">
        <f t="shared" si="3"/>
        <v/>
      </c>
    </row>
    <row r="91" spans="1:15" x14ac:dyDescent="0.35">
      <c r="A91" s="830"/>
      <c r="C91" s="446" t="str">
        <f t="shared" si="3"/>
        <v/>
      </c>
      <c r="D91" s="440" t="str">
        <f t="shared" si="3"/>
        <v/>
      </c>
      <c r="E91" s="439" t="str">
        <f t="shared" si="3"/>
        <v/>
      </c>
      <c r="F91" s="439" t="str">
        <f t="shared" si="3"/>
        <v/>
      </c>
      <c r="G91" s="444" t="str">
        <f t="shared" si="3"/>
        <v/>
      </c>
      <c r="H91" s="441" t="str">
        <f t="shared" si="3"/>
        <v/>
      </c>
    </row>
    <row r="92" spans="1:15" x14ac:dyDescent="0.35">
      <c r="A92" s="830"/>
      <c r="C92" s="446" t="str">
        <f t="shared" si="3"/>
        <v/>
      </c>
      <c r="D92" s="440" t="str">
        <f t="shared" si="3"/>
        <v/>
      </c>
      <c r="E92" s="439" t="str">
        <f t="shared" si="3"/>
        <v/>
      </c>
      <c r="F92" s="439" t="str">
        <f t="shared" si="3"/>
        <v/>
      </c>
      <c r="G92" s="444" t="str">
        <f t="shared" si="3"/>
        <v/>
      </c>
      <c r="H92" s="441" t="str">
        <f t="shared" si="3"/>
        <v/>
      </c>
    </row>
    <row r="93" spans="1:15" x14ac:dyDescent="0.35">
      <c r="A93" s="830"/>
      <c r="B93" s="3"/>
      <c r="C93" s="446" t="str">
        <f t="shared" ref="C93:H98" si="4">IF(C48&lt;&gt;"",C48,"")</f>
        <v/>
      </c>
      <c r="D93" s="440" t="str">
        <f t="shared" si="4"/>
        <v/>
      </c>
      <c r="E93" s="439" t="str">
        <f t="shared" si="4"/>
        <v/>
      </c>
      <c r="F93" s="439" t="str">
        <f t="shared" si="4"/>
        <v/>
      </c>
      <c r="G93" s="444" t="str">
        <f t="shared" si="4"/>
        <v/>
      </c>
      <c r="H93" s="441" t="str">
        <f t="shared" si="4"/>
        <v/>
      </c>
    </row>
    <row r="94" spans="1:15" x14ac:dyDescent="0.35">
      <c r="A94" s="830"/>
      <c r="C94" s="446" t="str">
        <f t="shared" si="4"/>
        <v/>
      </c>
      <c r="D94" s="440" t="str">
        <f t="shared" si="4"/>
        <v/>
      </c>
      <c r="E94" s="439" t="str">
        <f t="shared" si="4"/>
        <v/>
      </c>
      <c r="F94" s="439" t="str">
        <f t="shared" si="4"/>
        <v/>
      </c>
      <c r="G94" s="444" t="str">
        <f t="shared" si="4"/>
        <v/>
      </c>
      <c r="H94" s="441" t="str">
        <f t="shared" si="4"/>
        <v/>
      </c>
    </row>
    <row r="95" spans="1:15" x14ac:dyDescent="0.35">
      <c r="A95" s="830"/>
      <c r="C95" s="446" t="str">
        <f t="shared" si="4"/>
        <v/>
      </c>
      <c r="D95" s="440" t="str">
        <f t="shared" si="4"/>
        <v/>
      </c>
      <c r="E95" s="439" t="str">
        <f t="shared" si="4"/>
        <v/>
      </c>
      <c r="F95" s="439" t="str">
        <f t="shared" si="4"/>
        <v/>
      </c>
      <c r="G95" s="444" t="str">
        <f t="shared" si="4"/>
        <v/>
      </c>
      <c r="H95" s="441" t="str">
        <f t="shared" si="4"/>
        <v/>
      </c>
    </row>
    <row r="96" spans="1:15" x14ac:dyDescent="0.35">
      <c r="A96" s="830"/>
      <c r="C96" s="446" t="str">
        <f t="shared" si="4"/>
        <v/>
      </c>
      <c r="D96" s="440" t="str">
        <f t="shared" si="4"/>
        <v/>
      </c>
      <c r="E96" s="439" t="str">
        <f t="shared" si="4"/>
        <v/>
      </c>
      <c r="F96" s="439" t="str">
        <f t="shared" si="4"/>
        <v/>
      </c>
      <c r="G96" s="444" t="str">
        <f t="shared" si="4"/>
        <v/>
      </c>
      <c r="H96" s="441" t="str">
        <f t="shared" si="4"/>
        <v/>
      </c>
    </row>
    <row r="97" spans="1:9" x14ac:dyDescent="0.35">
      <c r="A97" s="830"/>
      <c r="C97" s="446" t="str">
        <f t="shared" si="4"/>
        <v/>
      </c>
      <c r="D97" s="440" t="str">
        <f t="shared" si="4"/>
        <v/>
      </c>
      <c r="E97" s="439" t="str">
        <f t="shared" si="4"/>
        <v/>
      </c>
      <c r="F97" s="439" t="str">
        <f t="shared" si="4"/>
        <v/>
      </c>
      <c r="G97" s="444" t="str">
        <f t="shared" si="4"/>
        <v/>
      </c>
      <c r="H97" s="441" t="str">
        <f t="shared" si="4"/>
        <v/>
      </c>
    </row>
    <row r="98" spans="1:9" x14ac:dyDescent="0.35">
      <c r="A98" s="830"/>
      <c r="C98" s="446" t="str">
        <f t="shared" si="4"/>
        <v/>
      </c>
      <c r="D98" s="440" t="str">
        <f t="shared" si="4"/>
        <v/>
      </c>
      <c r="E98" s="439" t="str">
        <f t="shared" si="4"/>
        <v/>
      </c>
      <c r="F98" s="439" t="str">
        <f t="shared" si="4"/>
        <v/>
      </c>
      <c r="G98" s="444" t="str">
        <f t="shared" si="4"/>
        <v/>
      </c>
      <c r="H98" s="441" t="str">
        <f t="shared" si="4"/>
        <v/>
      </c>
    </row>
    <row r="99" spans="1:9" x14ac:dyDescent="0.35">
      <c r="A99" s="830"/>
      <c r="C99" s="447"/>
      <c r="D99" s="447"/>
      <c r="E99" s="447"/>
      <c r="F99" s="447"/>
      <c r="G99" s="892" t="str">
        <f>IF(VSK&lt;&gt;0, SUM(H76:H98),"")</f>
        <v/>
      </c>
      <c r="H99" s="892"/>
    </row>
    <row r="100" spans="1:9" x14ac:dyDescent="0.35">
      <c r="A100" s="830"/>
    </row>
    <row r="101" spans="1:9" x14ac:dyDescent="0.35">
      <c r="A101" s="830"/>
      <c r="B101" s="3"/>
      <c r="C101" t="str">
        <f>IF(AND(ZuAbschlag&lt;&gt;0,VSK&lt;&gt;0),"Zu-/Abschlag:","")</f>
        <v/>
      </c>
      <c r="E101" s="15" t="str">
        <f>IF(AND(ZuAbschlag&lt;&gt;0,VSK&lt;&gt;0),ZuAbschlag,"")</f>
        <v/>
      </c>
      <c r="F101" s="481" t="str">
        <f>IF(AND(ZuAbschlag&lt;&gt;0,VSK&lt;&gt;0),G99*E101,"")</f>
        <v/>
      </c>
      <c r="G101" s="1" t="str">
        <f>IF(AND(ZuAbschlag&lt;&gt;0,VSK&lt;&gt;0,F56&lt;&gt;""),F56,"")</f>
        <v/>
      </c>
    </row>
    <row r="102" spans="1:9" ht="15.5" x14ac:dyDescent="0.35">
      <c r="A102" s="830"/>
      <c r="C102" t="str">
        <f>IF(AND(NK&lt;&gt;0,VSK&lt;&gt;0),"Nebenkosten:","")</f>
        <v/>
      </c>
      <c r="F102" s="481" t="str">
        <f>IF(AND(NK&lt;&gt;0,VSK&lt;&gt;0),NK,"")</f>
        <v/>
      </c>
      <c r="G102" s="1" t="str">
        <f>IF(AND(NK&lt;&gt;0,VSK&lt;&gt;0,F57&lt;&gt;""),F57,"")</f>
        <v/>
      </c>
      <c r="I102" s="16"/>
    </row>
    <row r="103" spans="1:9" x14ac:dyDescent="0.35">
      <c r="A103" s="830"/>
    </row>
    <row r="104" spans="1:9" ht="15.5" x14ac:dyDescent="0.35">
      <c r="A104" s="830"/>
      <c r="C104" s="16" t="s">
        <v>65</v>
      </c>
      <c r="D104" s="16"/>
      <c r="E104" s="16"/>
      <c r="F104" s="16"/>
      <c r="G104" s="893">
        <f>IF(VSK&gt;0,SUM(F102,F101,G99),0)</f>
        <v>0</v>
      </c>
      <c r="H104" s="894"/>
    </row>
    <row r="105" spans="1:9" x14ac:dyDescent="0.35">
      <c r="A105" s="830"/>
    </row>
  </sheetData>
  <mergeCells count="16">
    <mergeCell ref="K77:O81"/>
    <mergeCell ref="G99:H99"/>
    <mergeCell ref="G104:H104"/>
    <mergeCell ref="F56:H56"/>
    <mergeCell ref="F57:H57"/>
    <mergeCell ref="G59:H59"/>
    <mergeCell ref="A1:A61"/>
    <mergeCell ref="C2:H2"/>
    <mergeCell ref="C4:H5"/>
    <mergeCell ref="A62:A105"/>
    <mergeCell ref="B62:I62"/>
    <mergeCell ref="B63:I63"/>
    <mergeCell ref="B64:I64"/>
    <mergeCell ref="B65:I65"/>
    <mergeCell ref="B67:I67"/>
    <mergeCell ref="C73:H73"/>
  </mergeCells>
  <dataValidations disablePrompts="1" count="4">
    <dataValidation type="decimal" operator="greaterThan" showInputMessage="1" showErrorMessage="1" sqref="E56" xr:uid="{00000000-0002-0000-1D00-000000000000}">
      <formula1>-1000</formula1>
    </dataValidation>
    <dataValidation type="decimal" operator="greaterThan" allowBlank="1" showInputMessage="1" showErrorMessage="1" sqref="E57" xr:uid="{00000000-0002-0000-1D00-000001000000}">
      <formula1>-1000000</formula1>
    </dataValidation>
    <dataValidation type="list" showInputMessage="1" showErrorMessage="1" sqref="E31:E53" xr:uid="{00000000-0002-0000-1D00-000002000000}">
      <formula1>$G$8:$G$22</formula1>
    </dataValidation>
    <dataValidation type="decimal" operator="greaterThan" allowBlank="1" showInputMessage="1" showErrorMessage="1" sqref="F31:F53" xr:uid="{00000000-0002-0000-1D00-000003000000}">
      <formula1>-99999</formula1>
    </dataValidation>
  </dataValidations>
  <pageMargins left="0.70866141732283472" right="0.39370078740157483" top="0.59055118110236227" bottom="0.59055118110236227" header="0.31496062992125984" footer="0.31496062992125984"/>
  <pageSetup paperSize="9" orientation="portrait" r:id="rId1"/>
  <headerFooter>
    <oddFooter>&amp;L&amp;9&amp;F, &amp;A&amp;R&amp;9&amp;D</oddFooter>
  </headerFooter>
  <legacyDrawingHF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Tabelle28"/>
  <dimension ref="A1:P70"/>
  <sheetViews>
    <sheetView zoomScaleNormal="100" workbookViewId="0">
      <selection activeCell="C5" sqref="C5:G5"/>
    </sheetView>
  </sheetViews>
  <sheetFormatPr baseColWidth="10" defaultColWidth="11.453125" defaultRowHeight="14.5" x14ac:dyDescent="0.35"/>
  <cols>
    <col min="1" max="1" width="4" customWidth="1"/>
    <col min="2" max="2" width="4.7265625" customWidth="1"/>
    <col min="3" max="3" width="5.7265625" customWidth="1"/>
    <col min="4" max="4" width="35.7265625" customWidth="1"/>
    <col min="5" max="7" width="8.453125" customWidth="1"/>
    <col min="8" max="8" width="11.453125" customWidth="1"/>
    <col min="9" max="9" width="4.26953125" customWidth="1"/>
  </cols>
  <sheetData>
    <row r="1" spans="1:16" ht="15.75" customHeight="1" x14ac:dyDescent="0.35">
      <c r="A1" s="995" t="s">
        <v>35</v>
      </c>
      <c r="B1" s="45"/>
      <c r="C1" s="45"/>
      <c r="D1" s="45"/>
      <c r="E1" s="45"/>
      <c r="F1" s="45"/>
      <c r="G1" s="45"/>
      <c r="H1" s="45"/>
      <c r="I1" s="45"/>
      <c r="K1" s="93" t="s">
        <v>699</v>
      </c>
      <c r="L1" s="93"/>
      <c r="M1" s="93"/>
      <c r="N1" s="94">
        <f ca="1">CELL("ZEILE",B36)</f>
        <v>36</v>
      </c>
    </row>
    <row r="2" spans="1:16" ht="23.5" x14ac:dyDescent="0.35">
      <c r="A2" s="995"/>
      <c r="B2" s="46"/>
      <c r="C2" s="864" t="s">
        <v>1</v>
      </c>
      <c r="D2" s="865"/>
      <c r="E2" s="865"/>
      <c r="F2" s="865"/>
      <c r="G2" s="865"/>
      <c r="H2" s="866"/>
      <c r="I2" s="45"/>
      <c r="K2" s="175" t="s">
        <v>700</v>
      </c>
      <c r="L2" s="155"/>
      <c r="M2" s="155"/>
      <c r="N2" s="175">
        <f ca="1">CELL("ZEILE",G67)</f>
        <v>67</v>
      </c>
    </row>
    <row r="3" spans="1:16" ht="15.5" x14ac:dyDescent="0.35">
      <c r="A3" s="995"/>
      <c r="B3" s="330"/>
      <c r="C3" s="330"/>
      <c r="D3" s="330"/>
      <c r="E3" s="330"/>
      <c r="F3" s="330"/>
      <c r="G3" s="330"/>
      <c r="H3" s="330"/>
      <c r="I3" s="330"/>
      <c r="K3" s="175" t="s">
        <v>701</v>
      </c>
      <c r="L3" s="155"/>
      <c r="M3" s="155"/>
      <c r="N3" s="175">
        <f>E28</f>
        <v>0</v>
      </c>
    </row>
    <row r="4" spans="1:16" ht="15.5" x14ac:dyDescent="0.35">
      <c r="A4" s="995"/>
      <c r="B4" s="330"/>
      <c r="C4" s="330" t="s">
        <v>1</v>
      </c>
      <c r="D4" s="330"/>
      <c r="E4" s="330"/>
      <c r="F4" s="330"/>
      <c r="G4" s="330"/>
      <c r="H4" s="330" t="s">
        <v>715</v>
      </c>
      <c r="I4" s="330"/>
      <c r="K4" s="254"/>
      <c r="L4" s="254"/>
      <c r="M4" s="332"/>
      <c r="N4" s="254"/>
      <c r="O4" s="254"/>
      <c r="P4" s="254"/>
    </row>
    <row r="5" spans="1:16" ht="15.5" x14ac:dyDescent="0.35">
      <c r="A5" s="995"/>
      <c r="B5" s="330"/>
      <c r="C5" s="996"/>
      <c r="D5" s="997"/>
      <c r="E5" s="997"/>
      <c r="F5" s="997"/>
      <c r="G5" s="998"/>
      <c r="H5" s="480"/>
      <c r="I5" s="330"/>
      <c r="K5" s="254"/>
      <c r="L5" s="254"/>
      <c r="M5" s="332"/>
      <c r="N5" s="254"/>
      <c r="O5" s="254"/>
      <c r="P5" s="254"/>
    </row>
    <row r="6" spans="1:16" ht="15.5" x14ac:dyDescent="0.35">
      <c r="A6" s="995"/>
      <c r="B6" s="330"/>
      <c r="C6" s="996"/>
      <c r="D6" s="997"/>
      <c r="E6" s="997"/>
      <c r="F6" s="997"/>
      <c r="G6" s="998"/>
      <c r="H6" s="480"/>
      <c r="I6" s="330"/>
      <c r="K6" s="254"/>
      <c r="L6" s="254"/>
      <c r="M6" s="332"/>
      <c r="N6" s="254"/>
      <c r="O6" s="254"/>
      <c r="P6" s="254"/>
    </row>
    <row r="7" spans="1:16" ht="15.5" x14ac:dyDescent="0.35">
      <c r="A7" s="995"/>
      <c r="B7" s="330"/>
      <c r="C7" s="996"/>
      <c r="D7" s="997"/>
      <c r="E7" s="997"/>
      <c r="F7" s="997"/>
      <c r="G7" s="998"/>
      <c r="H7" s="480"/>
      <c r="I7" s="330"/>
      <c r="K7" s="254"/>
      <c r="L7" s="254"/>
      <c r="M7" s="332"/>
      <c r="N7" s="254"/>
      <c r="O7" s="254"/>
      <c r="P7" s="254"/>
    </row>
    <row r="8" spans="1:16" ht="15.5" x14ac:dyDescent="0.35">
      <c r="A8" s="995"/>
      <c r="B8" s="330"/>
      <c r="C8" s="996"/>
      <c r="D8" s="997"/>
      <c r="E8" s="997"/>
      <c r="F8" s="997"/>
      <c r="G8" s="998"/>
      <c r="H8" s="480"/>
      <c r="I8" s="330"/>
      <c r="K8" s="254"/>
      <c r="L8" s="254"/>
      <c r="M8" s="332"/>
      <c r="N8" s="254"/>
      <c r="O8" s="254"/>
      <c r="P8" s="254"/>
    </row>
    <row r="9" spans="1:16" ht="15.5" x14ac:dyDescent="0.35">
      <c r="A9" s="995"/>
      <c r="B9" s="330"/>
      <c r="C9" s="996"/>
      <c r="D9" s="997"/>
      <c r="E9" s="997"/>
      <c r="F9" s="997"/>
      <c r="G9" s="998"/>
      <c r="H9" s="480"/>
      <c r="I9" s="330"/>
      <c r="K9" s="254"/>
      <c r="L9" s="254"/>
      <c r="M9" s="332"/>
      <c r="N9" s="254"/>
      <c r="O9" s="254"/>
      <c r="P9" s="254"/>
    </row>
    <row r="10" spans="1:16" ht="15.5" x14ac:dyDescent="0.35">
      <c r="A10" s="995"/>
      <c r="B10" s="330"/>
      <c r="C10" s="996"/>
      <c r="D10" s="997"/>
      <c r="E10" s="997"/>
      <c r="F10" s="997"/>
      <c r="G10" s="998"/>
      <c r="H10" s="480"/>
      <c r="I10" s="330"/>
      <c r="K10" s="254"/>
      <c r="L10" s="254"/>
      <c r="M10" s="332"/>
      <c r="N10" s="254"/>
      <c r="O10" s="254"/>
      <c r="P10" s="254"/>
    </row>
    <row r="11" spans="1:16" ht="15.5" x14ac:dyDescent="0.35">
      <c r="A11" s="995"/>
      <c r="B11" s="330"/>
      <c r="C11" s="996"/>
      <c r="D11" s="997"/>
      <c r="E11" s="997"/>
      <c r="F11" s="997"/>
      <c r="G11" s="998"/>
      <c r="H11" s="480"/>
      <c r="I11" s="330"/>
      <c r="K11" s="254"/>
      <c r="L11" s="254"/>
      <c r="M11" s="332"/>
      <c r="N11" s="254"/>
      <c r="O11" s="254"/>
      <c r="P11" s="254"/>
    </row>
    <row r="12" spans="1:16" ht="15.5" x14ac:dyDescent="0.35">
      <c r="A12" s="995"/>
      <c r="B12" s="330"/>
      <c r="C12" s="996"/>
      <c r="D12" s="997"/>
      <c r="E12" s="997"/>
      <c r="F12" s="997"/>
      <c r="G12" s="998"/>
      <c r="H12" s="480"/>
      <c r="I12" s="330"/>
      <c r="K12" s="254"/>
      <c r="L12" s="254"/>
      <c r="M12" s="332"/>
      <c r="N12" s="254"/>
      <c r="O12" s="254"/>
      <c r="P12" s="254"/>
    </row>
    <row r="13" spans="1:16" ht="15.5" x14ac:dyDescent="0.35">
      <c r="A13" s="995"/>
      <c r="B13" s="330"/>
      <c r="C13" s="996"/>
      <c r="D13" s="997"/>
      <c r="E13" s="997"/>
      <c r="F13" s="997"/>
      <c r="G13" s="998"/>
      <c r="H13" s="480"/>
      <c r="I13" s="330"/>
      <c r="K13" s="254"/>
      <c r="L13" s="254"/>
      <c r="M13" s="332"/>
      <c r="N13" s="254"/>
      <c r="O13" s="254"/>
      <c r="P13" s="254"/>
    </row>
    <row r="14" spans="1:16" ht="15.5" x14ac:dyDescent="0.35">
      <c r="A14" s="995"/>
      <c r="B14" s="330"/>
      <c r="C14" s="996"/>
      <c r="D14" s="997"/>
      <c r="E14" s="997"/>
      <c r="F14" s="997"/>
      <c r="G14" s="998"/>
      <c r="H14" s="480"/>
      <c r="I14" s="330"/>
      <c r="K14" s="254"/>
      <c r="L14" s="254"/>
      <c r="M14" s="332"/>
      <c r="N14" s="254"/>
      <c r="O14" s="254"/>
      <c r="P14" s="254"/>
    </row>
    <row r="15" spans="1:16" ht="15.5" x14ac:dyDescent="0.35">
      <c r="A15" s="995"/>
      <c r="B15" s="330"/>
      <c r="C15" s="996"/>
      <c r="D15" s="997"/>
      <c r="E15" s="997"/>
      <c r="F15" s="997"/>
      <c r="G15" s="998"/>
      <c r="H15" s="480"/>
      <c r="I15" s="330"/>
      <c r="K15" s="254"/>
      <c r="L15" s="254"/>
      <c r="M15" s="332"/>
      <c r="N15" s="254"/>
      <c r="O15" s="254"/>
      <c r="P15" s="254"/>
    </row>
    <row r="16" spans="1:16" ht="15.5" x14ac:dyDescent="0.35">
      <c r="A16" s="995"/>
      <c r="B16" s="330"/>
      <c r="C16" s="996"/>
      <c r="D16" s="997"/>
      <c r="E16" s="997"/>
      <c r="F16" s="997"/>
      <c r="G16" s="998"/>
      <c r="H16" s="480"/>
      <c r="I16" s="330"/>
      <c r="K16" s="254"/>
      <c r="L16" s="254"/>
      <c r="M16" s="332"/>
      <c r="N16" s="254"/>
      <c r="O16" s="254"/>
      <c r="P16" s="254"/>
    </row>
    <row r="17" spans="1:16" ht="15.5" x14ac:dyDescent="0.35">
      <c r="A17" s="995"/>
      <c r="B17" s="330"/>
      <c r="C17" s="996"/>
      <c r="D17" s="997"/>
      <c r="E17" s="997"/>
      <c r="F17" s="997"/>
      <c r="G17" s="998"/>
      <c r="H17" s="480"/>
      <c r="I17" s="330"/>
      <c r="K17" s="254"/>
      <c r="L17" s="254"/>
      <c r="M17" s="332"/>
      <c r="N17" s="254"/>
      <c r="O17" s="254"/>
      <c r="P17" s="254"/>
    </row>
    <row r="18" spans="1:16" ht="15.5" x14ac:dyDescent="0.35">
      <c r="A18" s="995"/>
      <c r="B18" s="330"/>
      <c r="C18" s="996"/>
      <c r="D18" s="997"/>
      <c r="E18" s="997"/>
      <c r="F18" s="997"/>
      <c r="G18" s="998"/>
      <c r="H18" s="480"/>
      <c r="I18" s="330"/>
      <c r="K18" s="254"/>
      <c r="L18" s="254"/>
      <c r="M18" s="332"/>
      <c r="N18" s="254"/>
      <c r="O18" s="254"/>
      <c r="P18" s="254"/>
    </row>
    <row r="19" spans="1:16" ht="15.5" x14ac:dyDescent="0.35">
      <c r="A19" s="995"/>
      <c r="B19" s="330"/>
      <c r="C19" s="996"/>
      <c r="D19" s="997"/>
      <c r="E19" s="997"/>
      <c r="F19" s="997"/>
      <c r="G19" s="998"/>
      <c r="H19" s="480"/>
      <c r="I19" s="330"/>
      <c r="K19" s="254"/>
      <c r="L19" s="254"/>
      <c r="M19" s="332"/>
      <c r="N19" s="254"/>
      <c r="O19" s="254"/>
      <c r="P19" s="254"/>
    </row>
    <row r="20" spans="1:16" ht="15.5" x14ac:dyDescent="0.35">
      <c r="A20" s="995"/>
      <c r="B20" s="330"/>
      <c r="C20" s="996"/>
      <c r="D20" s="997"/>
      <c r="E20" s="997"/>
      <c r="F20" s="997"/>
      <c r="G20" s="998"/>
      <c r="H20" s="480"/>
      <c r="I20" s="330"/>
      <c r="K20" s="254"/>
      <c r="L20" s="254"/>
      <c r="M20" s="332"/>
      <c r="N20" s="254"/>
      <c r="O20" s="254"/>
      <c r="P20" s="254"/>
    </row>
    <row r="21" spans="1:16" ht="15.5" x14ac:dyDescent="0.35">
      <c r="A21" s="995"/>
      <c r="B21" s="330"/>
      <c r="C21" s="996"/>
      <c r="D21" s="997"/>
      <c r="E21" s="997"/>
      <c r="F21" s="997"/>
      <c r="G21" s="998"/>
      <c r="H21" s="480"/>
      <c r="I21" s="330"/>
      <c r="K21" s="254"/>
      <c r="L21" s="254"/>
      <c r="M21" s="332"/>
      <c r="N21" s="254"/>
      <c r="O21" s="254"/>
      <c r="P21" s="254"/>
    </row>
    <row r="22" spans="1:16" ht="15.5" x14ac:dyDescent="0.35">
      <c r="A22" s="995"/>
      <c r="B22" s="330"/>
      <c r="C22" s="996"/>
      <c r="D22" s="997"/>
      <c r="E22" s="997"/>
      <c r="F22" s="997"/>
      <c r="G22" s="998"/>
      <c r="H22" s="480"/>
      <c r="I22" s="330"/>
      <c r="K22" s="254"/>
      <c r="L22" s="254"/>
      <c r="M22" s="332"/>
      <c r="N22" s="254"/>
      <c r="O22" s="254"/>
      <c r="P22" s="254"/>
    </row>
    <row r="23" spans="1:16" ht="15.5" x14ac:dyDescent="0.35">
      <c r="A23" s="995"/>
      <c r="B23" s="330"/>
      <c r="C23" s="996"/>
      <c r="D23" s="997"/>
      <c r="E23" s="997"/>
      <c r="F23" s="997"/>
      <c r="G23" s="998"/>
      <c r="H23" s="480"/>
      <c r="I23" s="330"/>
      <c r="K23" s="254"/>
      <c r="L23" s="254"/>
      <c r="M23" s="332"/>
      <c r="N23" s="254"/>
      <c r="O23" s="254"/>
      <c r="P23" s="254"/>
    </row>
    <row r="24" spans="1:16" ht="15.5" x14ac:dyDescent="0.35">
      <c r="A24" s="995"/>
      <c r="B24" s="330"/>
      <c r="C24" s="996"/>
      <c r="D24" s="997"/>
      <c r="E24" s="997"/>
      <c r="F24" s="997"/>
      <c r="G24" s="998"/>
      <c r="H24" s="480"/>
      <c r="I24" s="330"/>
      <c r="K24" s="254"/>
      <c r="L24" s="254"/>
      <c r="M24" s="332"/>
      <c r="N24" s="254"/>
      <c r="O24" s="254"/>
      <c r="P24" s="254"/>
    </row>
    <row r="25" spans="1:16" ht="15.5" x14ac:dyDescent="0.35">
      <c r="A25" s="995"/>
      <c r="B25" s="46"/>
      <c r="C25" s="47"/>
      <c r="D25" s="47"/>
      <c r="E25" s="53"/>
      <c r="F25" s="47"/>
      <c r="G25" s="46"/>
      <c r="H25" s="46"/>
      <c r="I25" s="45"/>
    </row>
    <row r="26" spans="1:16" ht="15.5" x14ac:dyDescent="0.35">
      <c r="A26" s="995"/>
      <c r="B26" s="46"/>
      <c r="C26" s="317"/>
      <c r="D26" s="318"/>
      <c r="E26" s="317"/>
      <c r="F26" s="592" t="s">
        <v>633</v>
      </c>
      <c r="G26" s="317"/>
      <c r="H26" s="319"/>
      <c r="I26" s="45"/>
    </row>
    <row r="27" spans="1:16" ht="15.5" x14ac:dyDescent="0.35">
      <c r="A27" s="995"/>
      <c r="B27" s="46"/>
      <c r="C27" s="47" t="s">
        <v>34</v>
      </c>
      <c r="D27" s="47"/>
      <c r="E27" s="320"/>
      <c r="F27" s="899"/>
      <c r="G27" s="900"/>
      <c r="H27" s="901"/>
      <c r="I27" s="45"/>
    </row>
    <row r="28" spans="1:16" ht="21" x14ac:dyDescent="0.5">
      <c r="A28" s="995"/>
      <c r="B28" s="45"/>
      <c r="C28" s="54" t="str">
        <f>IF(VSK=0, "UNVOLLSTÄNDIG AUSGEFÜLLT!","")</f>
        <v>UNVOLLSTÄNDIG AUSGEFÜLLT!</v>
      </c>
      <c r="D28" s="45"/>
      <c r="E28" s="438">
        <f>IF(SUM(H5:H24)&gt;0,1,0)</f>
        <v>0</v>
      </c>
      <c r="F28" s="45"/>
      <c r="G28" s="852" t="str">
        <f>IF(VSK&lt;&gt;0, G67,"")</f>
        <v/>
      </c>
      <c r="H28" s="852"/>
      <c r="I28" s="45"/>
      <c r="P28" s="254"/>
    </row>
    <row r="29" spans="1:16" ht="15.5" x14ac:dyDescent="0.35">
      <c r="A29" s="995"/>
      <c r="B29" s="45"/>
      <c r="C29" s="45"/>
      <c r="D29" s="45"/>
      <c r="E29" s="45"/>
      <c r="F29" s="45"/>
      <c r="G29" s="45"/>
      <c r="H29" s="45"/>
      <c r="I29" s="45"/>
    </row>
    <row r="30" spans="1:16" ht="15" customHeight="1" x14ac:dyDescent="0.35">
      <c r="A30" s="830" t="s">
        <v>66</v>
      </c>
      <c r="I30" s="577" t="str">
        <f ca="1">IF(VLOOKUP(B36,CHOOSE({5,4,3,2,1},Gesamt!L32:L65,Gesamt!M32:M65,Gesamt!N32:N65,Gesamt!O32:O65,Gesamt!P32:P65,),4,0)&gt;0,CONCATENATE("Pos. ",VLOOKUP(B36,CHOOSE({5,4,3,2,1},Gesamt!L32:L65,Gesamt!M32:M65,Gesamt!N32:N65,Gesamt!O32:O65,Gesamt!P32:P65,),VLOOKUP(Gesamt!C19,Gesamt!L5:N7,3,0),0)),"")</f>
        <v/>
      </c>
    </row>
    <row r="31" spans="1:16" x14ac:dyDescent="0.35">
      <c r="A31" s="830"/>
      <c r="B31" s="831" t="str">
        <f>CONCATENATE(Gesamt!C2, ": ", Gesamt!E2)</f>
        <v xml:space="preserve">Projekt: </v>
      </c>
      <c r="C31" s="831"/>
      <c r="D31" s="831"/>
      <c r="E31" s="831"/>
      <c r="F31" s="831"/>
      <c r="G31" s="831"/>
      <c r="H31" s="831"/>
      <c r="I31" s="831"/>
    </row>
    <row r="32" spans="1:16" x14ac:dyDescent="0.35">
      <c r="A32" s="830"/>
      <c r="B32" s="832" t="str">
        <f>CONCATENATE(Gesamt!C4, ": ", Gesamt!E4, IF(Gesamt!E5&lt;&gt;""," - ",""), IF(Gesamt!E5&lt;&gt;"",Gesamt!E5,""), IF(Gesamt!E6&lt;&gt;""," - GZ. ",""), IF(Gesamt!E6&lt;&gt;"",Gesamt!E6,""),)</f>
        <v xml:space="preserve">Auftraggeber: </v>
      </c>
      <c r="C32" s="832"/>
      <c r="D32" s="832"/>
      <c r="E32" s="832"/>
      <c r="F32" s="832"/>
      <c r="G32" s="832"/>
      <c r="H32" s="832"/>
      <c r="I32" s="832"/>
    </row>
    <row r="33" spans="1:15" x14ac:dyDescent="0.35">
      <c r="A33" s="830"/>
      <c r="B33" s="832" t="str">
        <f>CONCATENATE(Gesamt!C9, ": ",Gesamt!E9,  IF(Gesamt!C10&lt;&gt;""," - ",""), IF(Gesamt!C10&lt;&gt;"",Gesamt!E10,""), IF(Gesamt!C11&lt;&gt;""," - GZ. ",""), IF(Gesamt!C11&lt;&gt;"",Gesamt!E11,""), )</f>
        <v xml:space="preserve">Bieter:  -  - GZ. </v>
      </c>
      <c r="C33" s="832"/>
      <c r="D33" s="832"/>
      <c r="E33" s="832"/>
      <c r="F33" s="832"/>
      <c r="G33" s="832"/>
      <c r="H33" s="832"/>
      <c r="I33" s="832"/>
    </row>
    <row r="34" spans="1:15" x14ac:dyDescent="0.35">
      <c r="A34" s="830"/>
      <c r="B34" s="832" t="s">
        <v>41</v>
      </c>
      <c r="C34" s="832"/>
      <c r="D34" s="832"/>
      <c r="E34" s="832"/>
      <c r="F34" s="832"/>
      <c r="G34" s="832"/>
      <c r="H34" s="832"/>
      <c r="I34" s="832"/>
    </row>
    <row r="35" spans="1:15" x14ac:dyDescent="0.35">
      <c r="A35" s="830"/>
    </row>
    <row r="36" spans="1:15" ht="18.5" x14ac:dyDescent="0.35">
      <c r="A36" s="830"/>
      <c r="B36" s="843" t="str">
        <f>C2</f>
        <v>Nebenkosten</v>
      </c>
      <c r="C36" s="843"/>
      <c r="D36" s="843"/>
      <c r="E36" s="843"/>
      <c r="F36" s="843"/>
      <c r="G36" s="843"/>
      <c r="H36" s="843"/>
      <c r="I36" s="843"/>
    </row>
    <row r="37" spans="1:15" x14ac:dyDescent="0.35">
      <c r="A37" s="830"/>
    </row>
    <row r="38" spans="1:15" x14ac:dyDescent="0.35">
      <c r="A38" s="830"/>
      <c r="C38" t="s">
        <v>716</v>
      </c>
    </row>
    <row r="39" spans="1:15" x14ac:dyDescent="0.35">
      <c r="A39" s="830"/>
    </row>
    <row r="40" spans="1:15" x14ac:dyDescent="0.35">
      <c r="A40" s="830"/>
      <c r="C40" t="s">
        <v>959</v>
      </c>
      <c r="E40" s="243">
        <f>IS</f>
        <v>0</v>
      </c>
    </row>
    <row r="41" spans="1:15" x14ac:dyDescent="0.35">
      <c r="A41" s="830"/>
      <c r="C41" s="15"/>
    </row>
    <row r="42" spans="1:15" x14ac:dyDescent="0.35">
      <c r="A42" s="830"/>
      <c r="C42" s="442" t="s">
        <v>1</v>
      </c>
      <c r="D42" s="442"/>
      <c r="E42" s="443"/>
      <c r="F42" s="443"/>
      <c r="G42" s="443"/>
      <c r="H42" s="443" t="s">
        <v>616</v>
      </c>
    </row>
    <row r="43" spans="1:15" x14ac:dyDescent="0.35">
      <c r="A43" s="830"/>
      <c r="C43" s="446" t="str">
        <f>IF(C5&lt;&gt;"",C5,"")</f>
        <v/>
      </c>
      <c r="D43" s="440"/>
      <c r="E43" s="439"/>
      <c r="F43" s="439"/>
      <c r="G43" s="444"/>
      <c r="H43" s="441" t="str">
        <f>IF(H5&lt;&gt;"",H5,"")</f>
        <v/>
      </c>
      <c r="K43" s="835" t="s">
        <v>626</v>
      </c>
      <c r="L43" s="879"/>
      <c r="M43" s="879"/>
      <c r="N43" s="879"/>
      <c r="O43" s="880"/>
    </row>
    <row r="44" spans="1:15" x14ac:dyDescent="0.35">
      <c r="A44" s="830"/>
      <c r="C44" s="446" t="str">
        <f t="shared" ref="C44:C62" si="0">IF(C6&lt;&gt;"",C6,"")</f>
        <v/>
      </c>
      <c r="D44" s="440"/>
      <c r="E44" s="439"/>
      <c r="F44" s="439"/>
      <c r="G44" s="444"/>
      <c r="H44" s="441" t="str">
        <f t="shared" ref="H44:H61" si="1">IF(H6&lt;&gt;"",H6,"")</f>
        <v/>
      </c>
      <c r="K44" s="881"/>
      <c r="L44" s="882"/>
      <c r="M44" s="882"/>
      <c r="N44" s="882"/>
      <c r="O44" s="883"/>
    </row>
    <row r="45" spans="1:15" x14ac:dyDescent="0.35">
      <c r="A45" s="830"/>
      <c r="C45" s="446" t="str">
        <f t="shared" si="0"/>
        <v/>
      </c>
      <c r="D45" s="440"/>
      <c r="E45" s="439"/>
      <c r="F45" s="439"/>
      <c r="G45" s="444"/>
      <c r="H45" s="441" t="str">
        <f t="shared" si="1"/>
        <v/>
      </c>
      <c r="K45" s="881"/>
      <c r="L45" s="882"/>
      <c r="M45" s="882"/>
      <c r="N45" s="882"/>
      <c r="O45" s="883"/>
    </row>
    <row r="46" spans="1:15" x14ac:dyDescent="0.35">
      <c r="A46" s="830"/>
      <c r="C46" s="446" t="str">
        <f t="shared" si="0"/>
        <v/>
      </c>
      <c r="D46" s="440"/>
      <c r="E46" s="439"/>
      <c r="F46" s="439"/>
      <c r="G46" s="444"/>
      <c r="H46" s="441" t="str">
        <f t="shared" si="1"/>
        <v/>
      </c>
      <c r="K46" s="881"/>
      <c r="L46" s="882"/>
      <c r="M46" s="882"/>
      <c r="N46" s="882"/>
      <c r="O46" s="883"/>
    </row>
    <row r="47" spans="1:15" x14ac:dyDescent="0.35">
      <c r="A47" s="830"/>
      <c r="C47" s="446" t="str">
        <f t="shared" si="0"/>
        <v/>
      </c>
      <c r="D47" s="440"/>
      <c r="E47" s="439"/>
      <c r="F47" s="439"/>
      <c r="G47" s="444"/>
      <c r="H47" s="441" t="str">
        <f t="shared" si="1"/>
        <v/>
      </c>
      <c r="K47" s="884"/>
      <c r="L47" s="885"/>
      <c r="M47" s="885"/>
      <c r="N47" s="885"/>
      <c r="O47" s="886"/>
    </row>
    <row r="48" spans="1:15" x14ac:dyDescent="0.35">
      <c r="A48" s="830"/>
      <c r="C48" s="446" t="str">
        <f t="shared" si="0"/>
        <v/>
      </c>
      <c r="D48" s="440"/>
      <c r="E48" s="439"/>
      <c r="F48" s="439"/>
      <c r="G48" s="444"/>
      <c r="H48" s="441" t="str">
        <f t="shared" si="1"/>
        <v/>
      </c>
    </row>
    <row r="49" spans="1:8" x14ac:dyDescent="0.35">
      <c r="A49" s="830"/>
      <c r="C49" s="446" t="str">
        <f t="shared" si="0"/>
        <v/>
      </c>
      <c r="D49" s="440"/>
      <c r="E49" s="439"/>
      <c r="F49" s="439"/>
      <c r="G49" s="444"/>
      <c r="H49" s="441" t="str">
        <f t="shared" si="1"/>
        <v/>
      </c>
    </row>
    <row r="50" spans="1:8" x14ac:dyDescent="0.35">
      <c r="A50" s="830"/>
      <c r="C50" s="446" t="str">
        <f t="shared" si="0"/>
        <v/>
      </c>
      <c r="D50" s="440"/>
      <c r="E50" s="439"/>
      <c r="F50" s="439"/>
      <c r="G50" s="444"/>
      <c r="H50" s="441" t="str">
        <f t="shared" si="1"/>
        <v/>
      </c>
    </row>
    <row r="51" spans="1:8" x14ac:dyDescent="0.35">
      <c r="A51" s="830"/>
      <c r="C51" s="446" t="str">
        <f t="shared" si="0"/>
        <v/>
      </c>
      <c r="D51" s="440"/>
      <c r="E51" s="439"/>
      <c r="F51" s="439"/>
      <c r="G51" s="444"/>
      <c r="H51" s="441" t="str">
        <f t="shared" si="1"/>
        <v/>
      </c>
    </row>
    <row r="52" spans="1:8" x14ac:dyDescent="0.35">
      <c r="A52" s="830"/>
      <c r="C52" s="446" t="str">
        <f t="shared" si="0"/>
        <v/>
      </c>
      <c r="D52" s="440"/>
      <c r="E52" s="439"/>
      <c r="F52" s="439"/>
      <c r="G52" s="444"/>
      <c r="H52" s="441" t="str">
        <f t="shared" si="1"/>
        <v/>
      </c>
    </row>
    <row r="53" spans="1:8" x14ac:dyDescent="0.35">
      <c r="A53" s="830"/>
      <c r="C53" s="446" t="str">
        <f t="shared" si="0"/>
        <v/>
      </c>
      <c r="D53" s="440"/>
      <c r="E53" s="439"/>
      <c r="F53" s="439"/>
      <c r="G53" s="444"/>
      <c r="H53" s="441" t="str">
        <f t="shared" si="1"/>
        <v/>
      </c>
    </row>
    <row r="54" spans="1:8" x14ac:dyDescent="0.35">
      <c r="A54" s="830"/>
      <c r="C54" s="446" t="str">
        <f t="shared" si="0"/>
        <v/>
      </c>
      <c r="D54" s="440"/>
      <c r="E54" s="439"/>
      <c r="F54" s="439"/>
      <c r="G54" s="444"/>
      <c r="H54" s="441" t="str">
        <f t="shared" si="1"/>
        <v/>
      </c>
    </row>
    <row r="55" spans="1:8" x14ac:dyDescent="0.35">
      <c r="A55" s="830"/>
      <c r="C55" s="446" t="str">
        <f t="shared" si="0"/>
        <v/>
      </c>
      <c r="D55" s="440"/>
      <c r="E55" s="439"/>
      <c r="F55" s="439"/>
      <c r="G55" s="444"/>
      <c r="H55" s="441" t="str">
        <f t="shared" si="1"/>
        <v/>
      </c>
    </row>
    <row r="56" spans="1:8" x14ac:dyDescent="0.35">
      <c r="A56" s="830"/>
      <c r="C56" s="446" t="str">
        <f t="shared" si="0"/>
        <v/>
      </c>
      <c r="D56" s="440"/>
      <c r="E56" s="439"/>
      <c r="F56" s="439"/>
      <c r="G56" s="444"/>
      <c r="H56" s="441" t="str">
        <f t="shared" si="1"/>
        <v/>
      </c>
    </row>
    <row r="57" spans="1:8" x14ac:dyDescent="0.35">
      <c r="A57" s="830"/>
      <c r="B57" s="3"/>
      <c r="C57" s="446" t="str">
        <f t="shared" si="0"/>
        <v/>
      </c>
      <c r="D57" s="440"/>
      <c r="E57" s="439"/>
      <c r="F57" s="439"/>
      <c r="G57" s="444"/>
      <c r="H57" s="441" t="str">
        <f t="shared" si="1"/>
        <v/>
      </c>
    </row>
    <row r="58" spans="1:8" x14ac:dyDescent="0.35">
      <c r="A58" s="830"/>
      <c r="C58" s="446" t="str">
        <f t="shared" si="0"/>
        <v/>
      </c>
      <c r="D58" s="440"/>
      <c r="E58" s="439"/>
      <c r="F58" s="439"/>
      <c r="G58" s="444"/>
      <c r="H58" s="441" t="str">
        <f t="shared" si="1"/>
        <v/>
      </c>
    </row>
    <row r="59" spans="1:8" x14ac:dyDescent="0.35">
      <c r="A59" s="830"/>
      <c r="C59" s="446" t="str">
        <f t="shared" si="0"/>
        <v/>
      </c>
      <c r="D59" s="440"/>
      <c r="E59" s="439"/>
      <c r="F59" s="439"/>
      <c r="G59" s="444"/>
      <c r="H59" s="441" t="str">
        <f t="shared" si="1"/>
        <v/>
      </c>
    </row>
    <row r="60" spans="1:8" x14ac:dyDescent="0.35">
      <c r="A60" s="830"/>
      <c r="C60" s="446" t="str">
        <f t="shared" si="0"/>
        <v/>
      </c>
      <c r="D60" s="440"/>
      <c r="E60" s="439"/>
      <c r="F60" s="439"/>
      <c r="G60" s="444"/>
      <c r="H60" s="441" t="str">
        <f t="shared" si="1"/>
        <v/>
      </c>
    </row>
    <row r="61" spans="1:8" x14ac:dyDescent="0.35">
      <c r="A61" s="830"/>
      <c r="C61" s="446" t="str">
        <f t="shared" si="0"/>
        <v/>
      </c>
      <c r="D61" s="440"/>
      <c r="E61" s="439"/>
      <c r="F61" s="439"/>
      <c r="G61" s="444"/>
      <c r="H61" s="441" t="str">
        <f t="shared" si="1"/>
        <v/>
      </c>
    </row>
    <row r="62" spans="1:8" x14ac:dyDescent="0.35">
      <c r="A62" s="830"/>
      <c r="C62" s="446" t="str">
        <f t="shared" si="0"/>
        <v/>
      </c>
      <c r="D62" s="291"/>
      <c r="E62" s="439"/>
      <c r="F62" s="439"/>
      <c r="G62" s="444"/>
      <c r="H62" s="441" t="str">
        <f>IF(H24&lt;&gt;"",H24,"")</f>
        <v/>
      </c>
    </row>
    <row r="63" spans="1:8" x14ac:dyDescent="0.35">
      <c r="A63" s="830"/>
      <c r="C63" s="447"/>
      <c r="D63" s="447"/>
      <c r="E63" s="447"/>
      <c r="F63" s="447"/>
      <c r="G63" s="892" t="str">
        <f>IF(VSK&lt;&gt;0, SUM(H43:H62),"")</f>
        <v/>
      </c>
      <c r="H63" s="892"/>
    </row>
    <row r="64" spans="1:8" x14ac:dyDescent="0.35">
      <c r="A64" s="830"/>
    </row>
    <row r="65" spans="1:8" x14ac:dyDescent="0.35">
      <c r="A65" s="830"/>
      <c r="C65" t="str">
        <f>IF(AND(ZuAbschlag&lt;&gt;0,VSK&lt;&gt;0),"Zu-/Abschlag:","")</f>
        <v/>
      </c>
      <c r="E65" s="15" t="str">
        <f>IF(AND(ZuAbschlag&lt;&gt;0,VSK&lt;&gt;0),ZuAbschlag,"")</f>
        <v/>
      </c>
      <c r="F65" s="481" t="str">
        <f>IF(AND(ZuAbschlag&lt;&gt;0,VSK&lt;&gt;0),G63*E65,"")</f>
        <v/>
      </c>
      <c r="G65" s="1" t="str">
        <f>IF(AND(ZuAbschlag&lt;&gt;0,VSK&lt;&gt;0,F27&lt;&gt;""),F27,"")</f>
        <v/>
      </c>
    </row>
    <row r="66" spans="1:8" x14ac:dyDescent="0.35">
      <c r="A66" s="830"/>
    </row>
    <row r="67" spans="1:8" ht="15.5" x14ac:dyDescent="0.35">
      <c r="A67" s="830"/>
      <c r="C67" s="16" t="s">
        <v>65</v>
      </c>
      <c r="D67" s="16"/>
      <c r="E67" s="16"/>
      <c r="F67" s="16"/>
      <c r="G67" s="893">
        <f>IF(VSK&gt;0,SUM(G63,F65),0)</f>
        <v>0</v>
      </c>
      <c r="H67" s="894"/>
    </row>
    <row r="68" spans="1:8" x14ac:dyDescent="0.35">
      <c r="A68" s="830"/>
    </row>
    <row r="69" spans="1:8" x14ac:dyDescent="0.35">
      <c r="A69" s="830"/>
    </row>
    <row r="70" spans="1:8" x14ac:dyDescent="0.35">
      <c r="A70" s="830"/>
    </row>
  </sheetData>
  <mergeCells count="33">
    <mergeCell ref="C7:G7"/>
    <mergeCell ref="C8:G8"/>
    <mergeCell ref="C9:G9"/>
    <mergeCell ref="C10:G10"/>
    <mergeCell ref="G28:H28"/>
    <mergeCell ref="C11:G11"/>
    <mergeCell ref="C12:G12"/>
    <mergeCell ref="C13:G13"/>
    <mergeCell ref="C14:G14"/>
    <mergeCell ref="C15:G15"/>
    <mergeCell ref="C23:G23"/>
    <mergeCell ref="F27:H27"/>
    <mergeCell ref="K43:O47"/>
    <mergeCell ref="G63:H63"/>
    <mergeCell ref="G67:H67"/>
    <mergeCell ref="C24:G24"/>
    <mergeCell ref="C16:G16"/>
    <mergeCell ref="A1:A29"/>
    <mergeCell ref="C2:H2"/>
    <mergeCell ref="A30:A70"/>
    <mergeCell ref="B31:I31"/>
    <mergeCell ref="B32:I32"/>
    <mergeCell ref="B33:I33"/>
    <mergeCell ref="B34:I34"/>
    <mergeCell ref="B36:I36"/>
    <mergeCell ref="C17:G17"/>
    <mergeCell ref="C18:G18"/>
    <mergeCell ref="C19:G19"/>
    <mergeCell ref="C20:G20"/>
    <mergeCell ref="C21:G21"/>
    <mergeCell ref="C22:G22"/>
    <mergeCell ref="C5:G5"/>
    <mergeCell ref="C6:G6"/>
  </mergeCells>
  <dataValidations count="1">
    <dataValidation type="decimal" operator="greaterThan" showInputMessage="1" showErrorMessage="1" sqref="H5:H24 E27" xr:uid="{00000000-0002-0000-1E00-000000000000}">
      <formula1>-1000</formula1>
    </dataValidation>
  </dataValidations>
  <pageMargins left="0.70866141732283472" right="0.39370078740157483" top="0.59055118110236227" bottom="0.59055118110236227" header="0.31496062992125984" footer="0.31496062992125984"/>
  <pageSetup paperSize="9" orientation="portrait" r:id="rId1"/>
  <headerFooter>
    <oddFooter>&amp;L&amp;9&amp;F, &amp;A&amp;R&amp;9&amp;D</oddFooter>
  </headerFooter>
  <legacyDrawingHF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Tabelle29"/>
  <dimension ref="A1:W66"/>
  <sheetViews>
    <sheetView zoomScaleNormal="100" workbookViewId="0">
      <selection activeCell="H5" sqref="H5"/>
    </sheetView>
  </sheetViews>
  <sheetFormatPr baseColWidth="10" defaultColWidth="11.453125" defaultRowHeight="14.5" x14ac:dyDescent="0.35"/>
  <cols>
    <col min="1" max="1" width="4" customWidth="1"/>
    <col min="2" max="2" width="6" customWidth="1"/>
    <col min="3" max="8" width="12.54296875" customWidth="1"/>
    <col min="9" max="9" width="5.7265625" customWidth="1"/>
  </cols>
  <sheetData>
    <row r="1" spans="1:22" ht="15.75" customHeight="1" x14ac:dyDescent="0.35">
      <c r="A1" s="833" t="s">
        <v>35</v>
      </c>
      <c r="B1" s="45"/>
      <c r="C1" s="45"/>
      <c r="D1" s="45"/>
      <c r="E1" s="45"/>
      <c r="F1" s="45"/>
      <c r="G1" s="45"/>
      <c r="H1" s="45"/>
      <c r="I1" s="45"/>
      <c r="K1" s="93" t="s">
        <v>699</v>
      </c>
      <c r="L1" s="93"/>
      <c r="M1" s="93"/>
      <c r="N1" s="94">
        <f ca="1">CELL("ZEILE",B27)</f>
        <v>27</v>
      </c>
    </row>
    <row r="2" spans="1:22" ht="23.5" x14ac:dyDescent="0.35">
      <c r="A2" s="833"/>
      <c r="B2" s="46"/>
      <c r="C2" s="47" t="s">
        <v>36</v>
      </c>
      <c r="D2" s="864" t="s">
        <v>965</v>
      </c>
      <c r="E2" s="865"/>
      <c r="F2" s="865"/>
      <c r="G2" s="865"/>
      <c r="H2" s="866"/>
      <c r="I2" s="45"/>
      <c r="K2" s="175" t="s">
        <v>700</v>
      </c>
      <c r="L2" s="155"/>
      <c r="M2" s="155"/>
      <c r="N2" s="175">
        <f ca="1">CELL("ZEILE",G60)</f>
        <v>60</v>
      </c>
    </row>
    <row r="3" spans="1:22" ht="15.5" x14ac:dyDescent="0.35">
      <c r="A3" s="833"/>
      <c r="B3" s="46"/>
      <c r="C3" s="47"/>
      <c r="D3" s="47" t="s">
        <v>1156</v>
      </c>
      <c r="E3" s="47"/>
      <c r="F3" s="47"/>
      <c r="G3" s="47"/>
      <c r="H3" s="47"/>
      <c r="I3" s="45"/>
      <c r="K3" s="175" t="s">
        <v>701</v>
      </c>
      <c r="L3" s="155"/>
      <c r="M3" s="155"/>
      <c r="N3" s="175">
        <f>F19</f>
        <v>0</v>
      </c>
    </row>
    <row r="4" spans="1:22" ht="15.5" x14ac:dyDescent="0.35">
      <c r="A4" s="833"/>
      <c r="B4" s="46"/>
      <c r="C4" s="47"/>
      <c r="D4" s="47"/>
      <c r="E4" s="47"/>
      <c r="F4" s="47"/>
      <c r="G4" s="47"/>
      <c r="H4" s="47"/>
      <c r="I4" s="45"/>
    </row>
    <row r="5" spans="1:22" ht="15.5" x14ac:dyDescent="0.35">
      <c r="A5" s="833"/>
      <c r="B5" s="46"/>
      <c r="C5" s="47" t="s">
        <v>882</v>
      </c>
      <c r="D5" s="47"/>
      <c r="E5" s="47"/>
      <c r="F5" s="47"/>
      <c r="G5" s="45"/>
      <c r="H5" s="666"/>
      <c r="I5" s="45"/>
      <c r="K5" s="667" t="s">
        <v>883</v>
      </c>
      <c r="L5" s="668">
        <v>1</v>
      </c>
    </row>
    <row r="6" spans="1:22" ht="15.5" x14ac:dyDescent="0.35">
      <c r="A6" s="833"/>
      <c r="B6" s="46"/>
      <c r="C6" s="47" t="s">
        <v>884</v>
      </c>
      <c r="D6" s="47"/>
      <c r="E6" s="47"/>
      <c r="F6" s="47"/>
      <c r="G6" s="45"/>
      <c r="H6" s="669"/>
      <c r="I6" s="45"/>
      <c r="K6" s="667" t="s">
        <v>885</v>
      </c>
      <c r="L6" s="668">
        <v>1.1100000000000001</v>
      </c>
    </row>
    <row r="7" spans="1:22" ht="15.5" x14ac:dyDescent="0.35">
      <c r="A7" s="833"/>
      <c r="B7" s="46"/>
      <c r="C7" s="47" t="s">
        <v>886</v>
      </c>
      <c r="D7" s="47"/>
      <c r="E7" s="47"/>
      <c r="F7" s="47"/>
      <c r="G7" s="45"/>
      <c r="H7" s="669"/>
      <c r="I7" s="45"/>
      <c r="K7" s="667" t="s">
        <v>887</v>
      </c>
      <c r="L7" s="668">
        <v>1.26</v>
      </c>
      <c r="P7" s="670"/>
    </row>
    <row r="8" spans="1:22" ht="15.5" x14ac:dyDescent="0.35">
      <c r="A8" s="833"/>
      <c r="B8" s="46"/>
      <c r="C8" s="47" t="s">
        <v>888</v>
      </c>
      <c r="D8" s="47"/>
      <c r="E8" s="47"/>
      <c r="F8" s="47"/>
      <c r="G8" s="45"/>
      <c r="H8" s="669"/>
      <c r="I8" s="45"/>
      <c r="K8" s="667" t="s">
        <v>889</v>
      </c>
      <c r="L8" s="668">
        <v>1.52</v>
      </c>
      <c r="N8" s="254"/>
      <c r="O8" s="254"/>
      <c r="V8" s="671"/>
    </row>
    <row r="9" spans="1:22" ht="15.5" x14ac:dyDescent="0.35">
      <c r="A9" s="833"/>
      <c r="B9" s="46"/>
      <c r="C9" s="47" t="s">
        <v>890</v>
      </c>
      <c r="D9" s="47"/>
      <c r="E9" s="47"/>
      <c r="F9" s="47"/>
      <c r="G9" s="45"/>
      <c r="H9" s="669"/>
      <c r="I9" s="45"/>
      <c r="K9" s="254"/>
      <c r="L9" s="254"/>
      <c r="M9" s="254"/>
      <c r="N9" s="254"/>
      <c r="O9" s="254"/>
      <c r="P9" s="670"/>
      <c r="Q9" s="670"/>
      <c r="R9" s="670"/>
      <c r="S9" s="670"/>
      <c r="T9" s="670"/>
      <c r="U9" s="670"/>
    </row>
    <row r="10" spans="1:22" ht="15.5" x14ac:dyDescent="0.35">
      <c r="A10" s="833"/>
      <c r="B10" s="46"/>
      <c r="C10" s="47" t="s">
        <v>891</v>
      </c>
      <c r="D10" s="47"/>
      <c r="E10" s="47"/>
      <c r="F10" s="47"/>
      <c r="G10" s="672">
        <f>D47</f>
        <v>1.1100000000000001</v>
      </c>
      <c r="H10" s="673" t="s">
        <v>885</v>
      </c>
      <c r="I10" s="45"/>
      <c r="K10" s="254"/>
      <c r="L10" s="254"/>
      <c r="M10" s="331"/>
      <c r="N10" s="254"/>
      <c r="O10" s="254"/>
      <c r="P10" s="670"/>
      <c r="Q10" s="670"/>
      <c r="R10" s="670"/>
      <c r="S10" s="670"/>
      <c r="T10" s="670"/>
      <c r="U10" s="674"/>
    </row>
    <row r="11" spans="1:22" ht="15.5" x14ac:dyDescent="0.35">
      <c r="A11" s="833"/>
      <c r="B11" s="46"/>
      <c r="C11" s="47"/>
      <c r="D11" s="47"/>
      <c r="E11" s="47"/>
      <c r="F11" s="47"/>
      <c r="G11" s="45"/>
      <c r="H11" s="45"/>
      <c r="I11" s="45"/>
      <c r="K11" s="254"/>
      <c r="L11" s="254"/>
      <c r="M11" s="254"/>
      <c r="N11" s="254"/>
      <c r="O11" s="254"/>
      <c r="U11" s="675"/>
    </row>
    <row r="12" spans="1:22" ht="15.5" x14ac:dyDescent="0.35">
      <c r="A12" s="833"/>
      <c r="B12" s="46"/>
      <c r="C12" s="999" t="s">
        <v>1169</v>
      </c>
      <c r="D12" s="1000"/>
      <c r="E12" s="1000"/>
      <c r="F12" s="1001"/>
      <c r="G12" s="47"/>
      <c r="H12" s="676"/>
      <c r="I12" s="46"/>
      <c r="K12" s="254"/>
      <c r="L12" s="254"/>
      <c r="M12" s="332"/>
      <c r="N12" s="254"/>
      <c r="O12" s="254"/>
      <c r="U12" s="675"/>
    </row>
    <row r="13" spans="1:22" ht="15.5" x14ac:dyDescent="0.35">
      <c r="A13" s="833"/>
      <c r="B13" s="45"/>
      <c r="C13" s="677" t="s">
        <v>892</v>
      </c>
      <c r="D13" s="678"/>
      <c r="E13" s="678"/>
      <c r="F13" s="678"/>
      <c r="G13" s="678"/>
      <c r="H13" s="47"/>
      <c r="I13" s="46"/>
      <c r="K13" s="254"/>
      <c r="L13" s="254"/>
      <c r="M13" s="332"/>
      <c r="N13" s="254"/>
      <c r="O13" s="254"/>
      <c r="U13" s="675"/>
    </row>
    <row r="14" spans="1:22" ht="15.5" x14ac:dyDescent="0.35">
      <c r="A14" s="833"/>
      <c r="B14" s="46"/>
      <c r="C14" s="47"/>
      <c r="D14" s="47"/>
      <c r="E14" s="47"/>
      <c r="F14" s="47"/>
      <c r="G14" s="47"/>
      <c r="H14" s="47"/>
      <c r="I14" s="47"/>
      <c r="K14" s="254"/>
      <c r="L14" s="254"/>
      <c r="M14" s="332"/>
      <c r="N14" s="254"/>
      <c r="O14" s="254"/>
      <c r="P14" s="670"/>
      <c r="Q14" s="670"/>
      <c r="R14" s="679"/>
      <c r="S14" s="679"/>
      <c r="U14" s="675"/>
    </row>
    <row r="15" spans="1:22" ht="15.5" x14ac:dyDescent="0.35">
      <c r="A15" s="833"/>
      <c r="B15" s="46"/>
      <c r="C15" s="317"/>
      <c r="D15" s="318"/>
      <c r="E15" s="317"/>
      <c r="F15" s="319"/>
      <c r="G15" s="592" t="s">
        <v>633</v>
      </c>
      <c r="H15" s="319"/>
      <c r="I15" s="47"/>
      <c r="K15" s="254"/>
      <c r="L15" s="254"/>
      <c r="M15" s="332"/>
      <c r="N15" s="254"/>
      <c r="O15" s="254"/>
      <c r="U15" s="675"/>
    </row>
    <row r="16" spans="1:22" ht="15.5" x14ac:dyDescent="0.35">
      <c r="A16" s="833"/>
      <c r="B16" s="46"/>
      <c r="C16" s="47" t="s">
        <v>34</v>
      </c>
      <c r="D16" s="47"/>
      <c r="E16" s="320"/>
      <c r="F16" s="47"/>
      <c r="G16" s="868"/>
      <c r="H16" s="869"/>
      <c r="I16" s="47"/>
      <c r="K16" s="254"/>
      <c r="L16" s="254"/>
      <c r="M16" s="254"/>
      <c r="N16" s="254"/>
      <c r="O16" s="254"/>
      <c r="P16" s="680"/>
      <c r="Q16" s="680"/>
      <c r="R16" s="680"/>
      <c r="S16" s="681"/>
      <c r="U16" s="675"/>
    </row>
    <row r="17" spans="1:23" ht="15.5" x14ac:dyDescent="0.35">
      <c r="A17" s="833"/>
      <c r="B17" s="46"/>
      <c r="C17" s="47" t="s">
        <v>1</v>
      </c>
      <c r="D17" s="47"/>
      <c r="E17" s="321"/>
      <c r="F17" s="47"/>
      <c r="G17" s="867"/>
      <c r="H17" s="867"/>
      <c r="I17" s="47"/>
      <c r="P17" s="680"/>
      <c r="Q17" s="680"/>
      <c r="R17" s="680"/>
      <c r="S17" s="682"/>
      <c r="U17" s="675"/>
    </row>
    <row r="18" spans="1:23" ht="15.5" x14ac:dyDescent="0.35">
      <c r="A18" s="833"/>
      <c r="B18" s="46"/>
      <c r="C18" s="47"/>
      <c r="D18" s="47"/>
      <c r="E18" s="53"/>
      <c r="F18" s="47"/>
      <c r="G18" s="46"/>
      <c r="H18" s="46"/>
      <c r="I18" s="45"/>
      <c r="P18" s="680"/>
      <c r="Q18" s="680"/>
      <c r="R18" s="680"/>
      <c r="S18" s="682"/>
      <c r="U18" s="675"/>
    </row>
    <row r="19" spans="1:23" ht="21" x14ac:dyDescent="0.5">
      <c r="A19" s="833"/>
      <c r="B19" s="45"/>
      <c r="C19" s="54" t="str">
        <f>IF(VSK=0, "UNVOLLSTÄNDIG AUSGEFÜLLT!","")</f>
        <v>UNVOLLSTÄNDIG AUSGEFÜLLT!</v>
      </c>
      <c r="D19" s="45"/>
      <c r="E19" s="45"/>
      <c r="F19" s="451">
        <f>IF(ISNUMBER(H6),1,0)</f>
        <v>0</v>
      </c>
      <c r="G19" s="852" t="str">
        <f>IF(VSK&lt;&gt;0, G60,"")</f>
        <v/>
      </c>
      <c r="H19" s="852"/>
      <c r="I19" s="45"/>
      <c r="P19" s="680"/>
      <c r="Q19" s="680"/>
      <c r="R19" s="680"/>
      <c r="S19" s="682"/>
      <c r="U19" s="675"/>
    </row>
    <row r="20" spans="1:23" ht="15.5" x14ac:dyDescent="0.35">
      <c r="A20" s="833"/>
      <c r="B20" s="45"/>
      <c r="C20" s="45"/>
      <c r="D20" s="45"/>
      <c r="E20" s="45"/>
      <c r="F20" s="45"/>
      <c r="G20" s="45"/>
      <c r="H20" s="45"/>
      <c r="I20" s="45"/>
      <c r="P20" s="680"/>
      <c r="Q20" s="680"/>
      <c r="R20" s="680"/>
      <c r="S20" s="682"/>
      <c r="U20" s="675"/>
    </row>
    <row r="21" spans="1:23" ht="15" customHeight="1" x14ac:dyDescent="0.35">
      <c r="A21" s="830" t="s">
        <v>66</v>
      </c>
      <c r="I21" s="577" t="str">
        <f ca="1">IF(VLOOKUP(B27,CHOOSE({5,4,3,2,1},Gesamt!L32:L65,Gesamt!M32:M65,Gesamt!N32:N65,Gesamt!O32:O65,Gesamt!P32:P65,),4,0)&gt;0,CONCATENATE("Pos. ",VLOOKUP(B27,CHOOSE({5,4,3,2,1},Gesamt!L32:L65,Gesamt!M32:M65,Gesamt!N32:N65,Gesamt!O32:O65,Gesamt!P32:P65,),VLOOKUP(Gesamt!C19,Gesamt!L5:N7,3,0),0)),"")</f>
        <v/>
      </c>
      <c r="P21" s="680"/>
      <c r="Q21" s="680"/>
      <c r="R21" s="680"/>
      <c r="S21" s="683"/>
    </row>
    <row r="22" spans="1:23" x14ac:dyDescent="0.35">
      <c r="A22" s="830"/>
      <c r="B22" s="831" t="str">
        <f>CONCATENATE(Gesamt!C2, ": ", Gesamt!E2)</f>
        <v xml:space="preserve">Projekt: </v>
      </c>
      <c r="C22" s="831"/>
      <c r="D22" s="831"/>
      <c r="E22" s="831"/>
      <c r="F22" s="831"/>
      <c r="G22" s="831"/>
      <c r="H22" s="831"/>
      <c r="I22" s="831"/>
    </row>
    <row r="23" spans="1:23" x14ac:dyDescent="0.35">
      <c r="A23" s="830"/>
      <c r="B23" s="832" t="str">
        <f>CONCATENATE(Gesamt!C4, ": ", Gesamt!E4, IF(Gesamt!E5&lt;&gt;""," - ",""), IF(Gesamt!E5&lt;&gt;"",Gesamt!E5,""), IF(Gesamt!E6&lt;&gt;""," - GZ. ",""), IF(Gesamt!E6&lt;&gt;"",Gesamt!E6,""),)</f>
        <v xml:space="preserve">Auftraggeber: </v>
      </c>
      <c r="C23" s="832"/>
      <c r="D23" s="832"/>
      <c r="E23" s="832"/>
      <c r="F23" s="832"/>
      <c r="G23" s="832"/>
      <c r="H23" s="832"/>
      <c r="I23" s="832"/>
    </row>
    <row r="24" spans="1:23" x14ac:dyDescent="0.35">
      <c r="A24" s="830"/>
      <c r="B24" s="832" t="str">
        <f>CONCATENATE(Gesamt!C9, ": ",Gesamt!E9,  IF(Gesamt!C10&lt;&gt;""," - ",""), IF(Gesamt!C10&lt;&gt;"",Gesamt!E10,""), IF(Gesamt!C11&lt;&gt;""," - GZ. ",""), IF(Gesamt!C11&lt;&gt;"",Gesamt!E11,""), )</f>
        <v xml:space="preserve">Bieter:  -  - GZ. </v>
      </c>
      <c r="C24" s="832"/>
      <c r="D24" s="832"/>
      <c r="E24" s="832"/>
      <c r="F24" s="832"/>
      <c r="G24" s="832"/>
      <c r="H24" s="832"/>
      <c r="I24" s="832"/>
    </row>
    <row r="25" spans="1:23" x14ac:dyDescent="0.35">
      <c r="A25" s="830"/>
      <c r="B25" s="832" t="s">
        <v>1170</v>
      </c>
      <c r="C25" s="832"/>
      <c r="D25" s="832"/>
      <c r="E25" s="832"/>
      <c r="F25" s="832"/>
      <c r="G25" s="832"/>
      <c r="H25" s="832"/>
      <c r="I25" s="832"/>
    </row>
    <row r="26" spans="1:23" x14ac:dyDescent="0.35">
      <c r="A26" s="830"/>
      <c r="P26" s="684"/>
      <c r="Q26" s="680"/>
      <c r="R26" s="680"/>
      <c r="S26" s="685"/>
      <c r="T26" s="680"/>
      <c r="U26" s="675"/>
      <c r="V26" s="680"/>
      <c r="W26" s="680"/>
    </row>
    <row r="27" spans="1:23" ht="18.5" x14ac:dyDescent="0.35">
      <c r="A27" s="830"/>
      <c r="B27" s="843" t="str">
        <f>D2</f>
        <v>Katastereintragung</v>
      </c>
      <c r="C27" s="843"/>
      <c r="D27" s="843"/>
      <c r="E27" s="843"/>
      <c r="F27" s="843"/>
      <c r="G27" s="843"/>
      <c r="H27" s="843"/>
      <c r="I27" s="843"/>
      <c r="S27" s="685"/>
    </row>
    <row r="28" spans="1:23" x14ac:dyDescent="0.35">
      <c r="A28" s="830"/>
      <c r="S28" s="685"/>
    </row>
    <row r="29" spans="1:23" x14ac:dyDescent="0.35">
      <c r="A29" s="830"/>
      <c r="C29" s="152" t="s">
        <v>1159</v>
      </c>
      <c r="P29" s="686"/>
      <c r="S29" s="687"/>
    </row>
    <row r="30" spans="1:23" x14ac:dyDescent="0.35">
      <c r="A30" s="830"/>
      <c r="C30" s="152" t="s">
        <v>893</v>
      </c>
      <c r="P30" s="686"/>
      <c r="S30" s="687"/>
    </row>
    <row r="31" spans="1:23" x14ac:dyDescent="0.35">
      <c r="A31" s="830"/>
      <c r="C31" s="152" t="s">
        <v>894</v>
      </c>
      <c r="P31" s="686"/>
      <c r="S31" s="687"/>
    </row>
    <row r="32" spans="1:23" x14ac:dyDescent="0.35">
      <c r="A32" s="830"/>
      <c r="C32" s="152"/>
      <c r="P32" s="686"/>
      <c r="S32" s="687"/>
    </row>
    <row r="33" spans="1:19" x14ac:dyDescent="0.35">
      <c r="A33" s="830"/>
      <c r="C33" s="821" t="s">
        <v>1160</v>
      </c>
      <c r="P33" s="686"/>
      <c r="S33" s="687"/>
    </row>
    <row r="34" spans="1:19" x14ac:dyDescent="0.35">
      <c r="A34" s="830"/>
    </row>
    <row r="35" spans="1:19" x14ac:dyDescent="0.35">
      <c r="A35" s="830"/>
      <c r="M35" s="670"/>
    </row>
    <row r="36" spans="1:19" x14ac:dyDescent="0.35">
      <c r="A36" s="830"/>
      <c r="C36" t="s">
        <v>959</v>
      </c>
      <c r="E36" s="118">
        <f>Gesamt!E14</f>
        <v>0</v>
      </c>
    </row>
    <row r="37" spans="1:19" x14ac:dyDescent="0.35">
      <c r="A37" s="830"/>
      <c r="M37" s="670"/>
    </row>
    <row r="38" spans="1:19" x14ac:dyDescent="0.35">
      <c r="A38" s="830"/>
      <c r="C38" s="30" t="s">
        <v>895</v>
      </c>
      <c r="M38" s="670"/>
    </row>
    <row r="39" spans="1:19" x14ac:dyDescent="0.35">
      <c r="A39" s="830"/>
    </row>
    <row r="40" spans="1:19" x14ac:dyDescent="0.35">
      <c r="A40" s="830"/>
    </row>
    <row r="41" spans="1:19" x14ac:dyDescent="0.35">
      <c r="A41" s="830"/>
    </row>
    <row r="42" spans="1:19" x14ac:dyDescent="0.35">
      <c r="A42" s="830"/>
      <c r="C42" t="s">
        <v>896</v>
      </c>
      <c r="D42" s="688">
        <f>H5</f>
        <v>0</v>
      </c>
      <c r="F42" t="s">
        <v>897</v>
      </c>
    </row>
    <row r="43" spans="1:19" x14ac:dyDescent="0.35">
      <c r="A43" s="830"/>
      <c r="C43" t="s">
        <v>898</v>
      </c>
      <c r="D43" s="689">
        <f>H6</f>
        <v>0</v>
      </c>
      <c r="F43" t="s">
        <v>899</v>
      </c>
    </row>
    <row r="44" spans="1:19" x14ac:dyDescent="0.35">
      <c r="A44" s="830"/>
      <c r="C44" t="s">
        <v>900</v>
      </c>
      <c r="D44" s="689">
        <f>H7</f>
        <v>0</v>
      </c>
      <c r="F44" t="s">
        <v>901</v>
      </c>
    </row>
    <row r="45" spans="1:19" x14ac:dyDescent="0.35">
      <c r="A45" s="830"/>
      <c r="C45" t="s">
        <v>902</v>
      </c>
      <c r="D45" s="689">
        <f>H8</f>
        <v>0</v>
      </c>
      <c r="F45" t="s">
        <v>903</v>
      </c>
    </row>
    <row r="46" spans="1:19" x14ac:dyDescent="0.35">
      <c r="A46" s="830"/>
      <c r="C46" t="s">
        <v>904</v>
      </c>
      <c r="D46" s="689">
        <f>H9</f>
        <v>0</v>
      </c>
      <c r="F46" t="s">
        <v>905</v>
      </c>
    </row>
    <row r="47" spans="1:19" x14ac:dyDescent="0.35">
      <c r="A47" s="830"/>
      <c r="C47" s="690" t="str">
        <f>H10</f>
        <v>M=1:500</v>
      </c>
      <c r="D47" s="688">
        <f>VLOOKUP(C47,K5:L8,2,FALSE)</f>
        <v>1.1100000000000001</v>
      </c>
      <c r="F47" s="30" t="s">
        <v>906</v>
      </c>
    </row>
    <row r="48" spans="1:19" x14ac:dyDescent="0.35">
      <c r="A48" s="830"/>
    </row>
    <row r="49" spans="1:9" x14ac:dyDescent="0.35">
      <c r="A49" s="830"/>
    </row>
    <row r="50" spans="1:9" x14ac:dyDescent="0.35">
      <c r="A50" s="830"/>
      <c r="C50" s="3" t="s">
        <v>60</v>
      </c>
      <c r="D50" s="3"/>
      <c r="E50" s="3"/>
      <c r="G50" s="22">
        <f>IF(VSK&lt;&gt;0,(1.277*D42+0.051*D43+(6.219*D42+0.01*D44+0.136*D43)*D47)*IS,0)</f>
        <v>0</v>
      </c>
      <c r="H50" s="3"/>
      <c r="I50" s="3"/>
    </row>
    <row r="51" spans="1:9" x14ac:dyDescent="0.35">
      <c r="A51" s="830"/>
      <c r="F51" s="28"/>
    </row>
    <row r="52" spans="1:9" x14ac:dyDescent="0.35">
      <c r="A52" s="830"/>
      <c r="C52" t="s">
        <v>907</v>
      </c>
      <c r="G52" s="481">
        <f>(D45+0.035*D46)*IS</f>
        <v>0</v>
      </c>
    </row>
    <row r="53" spans="1:9" x14ac:dyDescent="0.35">
      <c r="A53" s="830"/>
    </row>
    <row r="54" spans="1:9" x14ac:dyDescent="0.35">
      <c r="A54" s="830"/>
      <c r="C54" s="335" t="str">
        <f>IF(AND(ISNUMBER(H12),H12&lt;&gt;0),CONCATENATE(ABS(H12*100),"% ",C12),"")</f>
        <v/>
      </c>
      <c r="G54" s="335" t="str">
        <f>IF(AND(ISNUMBER(H12),H12&lt;&gt;0),SUM(G50,G52)*H12,"")</f>
        <v/>
      </c>
    </row>
    <row r="55" spans="1:9" x14ac:dyDescent="0.35">
      <c r="A55" s="830"/>
    </row>
    <row r="56" spans="1:9" x14ac:dyDescent="0.35">
      <c r="A56" s="830"/>
      <c r="C56" t="str">
        <f>IF(AND(ZuAbschlag&lt;&gt;0,VSK&lt;&gt;0),"Zu-/Abschlag:","")</f>
        <v/>
      </c>
      <c r="E56" s="15" t="str">
        <f>IF(AND(ZuAbschlag&lt;&gt;0,VSK&lt;&gt;0),ZuAbschlag,"")</f>
        <v/>
      </c>
      <c r="F56" s="17" t="str">
        <f>IF(AND(ZuAbschlag&lt;&gt;0,VSK&lt;&gt;0),SUM(G50,G52,G54)*E56,"")</f>
        <v/>
      </c>
      <c r="G56" s="1" t="str">
        <f>IF(AND(ZuAbschlag&lt;&gt;0,VSK&lt;&gt;0,G16&lt;&gt;""),G16,"")</f>
        <v/>
      </c>
    </row>
    <row r="57" spans="1:9" x14ac:dyDescent="0.35">
      <c r="A57" s="830"/>
      <c r="B57" s="3"/>
      <c r="C57" t="str">
        <f>IF(AND(NK&lt;&gt;0,VSK&lt;&gt;0),"Nebenkosten:","")</f>
        <v/>
      </c>
      <c r="F57" s="17" t="str">
        <f>IF(AND(NK&lt;&gt;0,VSK&lt;&gt;0),NK,"")</f>
        <v/>
      </c>
      <c r="G57" s="1" t="str">
        <f>IF(AND(NK&lt;&gt;0,VSK&lt;&gt;0,G17&lt;&gt;""),G17,"")</f>
        <v/>
      </c>
    </row>
    <row r="58" spans="1:9" x14ac:dyDescent="0.35">
      <c r="A58" s="830"/>
      <c r="C58" s="78"/>
      <c r="D58" s="78"/>
      <c r="E58" s="78"/>
      <c r="F58" s="78"/>
      <c r="G58" s="78"/>
      <c r="H58" s="78"/>
    </row>
    <row r="59" spans="1:9" x14ac:dyDescent="0.35">
      <c r="A59" s="830"/>
    </row>
    <row r="60" spans="1:9" ht="15.5" x14ac:dyDescent="0.35">
      <c r="A60" s="830"/>
      <c r="C60" s="16" t="s">
        <v>65</v>
      </c>
      <c r="D60" s="16"/>
      <c r="E60" s="16"/>
      <c r="F60" s="16"/>
      <c r="G60" s="842">
        <f>IF(VSK&gt;0,SUM(G50,G52,G54,F56,F57),0)</f>
        <v>0</v>
      </c>
      <c r="H60" s="842"/>
    </row>
    <row r="61" spans="1:9" x14ac:dyDescent="0.35">
      <c r="A61" s="830"/>
    </row>
    <row r="62" spans="1:9" x14ac:dyDescent="0.35">
      <c r="A62" s="830"/>
    </row>
    <row r="63" spans="1:9" x14ac:dyDescent="0.35">
      <c r="A63" s="830"/>
    </row>
    <row r="64" spans="1:9" x14ac:dyDescent="0.35">
      <c r="A64" s="830"/>
    </row>
    <row r="65" spans="1:1" x14ac:dyDescent="0.35">
      <c r="A65" s="830"/>
    </row>
    <row r="66" spans="1:1" x14ac:dyDescent="0.35">
      <c r="A66" s="830"/>
    </row>
  </sheetData>
  <mergeCells count="13">
    <mergeCell ref="A21:A66"/>
    <mergeCell ref="B22:I22"/>
    <mergeCell ref="B23:I23"/>
    <mergeCell ref="B24:I24"/>
    <mergeCell ref="B25:I25"/>
    <mergeCell ref="B27:I27"/>
    <mergeCell ref="G60:H60"/>
    <mergeCell ref="A1:A20"/>
    <mergeCell ref="D2:H2"/>
    <mergeCell ref="C12:F12"/>
    <mergeCell ref="G16:H16"/>
    <mergeCell ref="G17:H17"/>
    <mergeCell ref="G19:H19"/>
  </mergeCells>
  <dataValidations count="6">
    <dataValidation type="decimal" allowBlank="1" showInputMessage="1" showErrorMessage="1" error="-100 bis +100 % eingeben" sqref="H12" xr:uid="{00000000-0002-0000-1F00-000000000000}">
      <formula1>-100.0000001</formula1>
      <formula2>100.000001</formula2>
    </dataValidation>
    <dataValidation type="list" operator="greaterThan" allowBlank="1" showInputMessage="1" showErrorMessage="1" errorTitle="Maßstabsfaktor auswälen" error="Maßstabsfaktor auswälen!" sqref="H10" xr:uid="{00000000-0002-0000-1F00-000001000000}">
      <formula1>$K$5:$K$8</formula1>
    </dataValidation>
    <dataValidation type="whole" operator="greaterThan" allowBlank="1" showInputMessage="1" showErrorMessage="1" error="Positive Zahl eingeben" sqref="H6:H9" xr:uid="{00000000-0002-0000-1F00-000002000000}">
      <formula1>-1</formula1>
    </dataValidation>
    <dataValidation type="decimal" operator="greaterThan" allowBlank="1" showInputMessage="1" showErrorMessage="1" errorTitle="Aufnahmelänge" error="Poitive Zahl eingeben" sqref="H5" xr:uid="{00000000-0002-0000-1F00-000003000000}">
      <formula1>-0.000000001</formula1>
    </dataValidation>
    <dataValidation type="decimal" operator="greaterThan" showInputMessage="1" showErrorMessage="1" sqref="E16" xr:uid="{00000000-0002-0000-1F00-000004000000}">
      <formula1>-1000</formula1>
    </dataValidation>
    <dataValidation type="decimal" operator="greaterThan" allowBlank="1" showInputMessage="1" showErrorMessage="1" sqref="E17" xr:uid="{00000000-0002-0000-1F00-000005000000}">
      <formula1>-1000000</formula1>
    </dataValidation>
  </dataValidations>
  <pageMargins left="0.70866141732283472" right="0.39370078740157483" top="0.59055118110236227" bottom="0.59055118110236227" header="0.31496062992125984" footer="0.31496062992125984"/>
  <pageSetup paperSize="9" orientation="portrait" r:id="rId1"/>
  <headerFooter>
    <oddFooter>&amp;L&amp;9&amp;F, &amp;A&amp;R&amp;9&amp;D</oddFooter>
  </headerFooter>
  <legacyDrawingHF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Tabelle30"/>
  <dimension ref="A1:W68"/>
  <sheetViews>
    <sheetView zoomScaleNormal="100" workbookViewId="0">
      <selection activeCell="H5" sqref="H5"/>
    </sheetView>
  </sheetViews>
  <sheetFormatPr baseColWidth="10" defaultColWidth="11.453125" defaultRowHeight="14.5" x14ac:dyDescent="0.35"/>
  <cols>
    <col min="1" max="1" width="4" customWidth="1"/>
    <col min="2" max="2" width="6" customWidth="1"/>
    <col min="3" max="8" width="12.54296875" customWidth="1"/>
    <col min="9" max="9" width="5.7265625" customWidth="1"/>
  </cols>
  <sheetData>
    <row r="1" spans="1:22" ht="15.75" customHeight="1" x14ac:dyDescent="0.35">
      <c r="A1" s="833" t="s">
        <v>35</v>
      </c>
      <c r="B1" s="45"/>
      <c r="C1" s="45"/>
      <c r="D1" s="45"/>
      <c r="E1" s="45"/>
      <c r="F1" s="45"/>
      <c r="G1" s="45"/>
      <c r="H1" s="45"/>
      <c r="I1" s="45"/>
      <c r="K1" s="93" t="s">
        <v>699</v>
      </c>
      <c r="L1" s="93"/>
      <c r="M1" s="93"/>
      <c r="N1" s="94">
        <f ca="1">CELL("ZEILE",B27)</f>
        <v>27</v>
      </c>
    </row>
    <row r="2" spans="1:22" ht="23.5" x14ac:dyDescent="0.35">
      <c r="A2" s="833"/>
      <c r="B2" s="46"/>
      <c r="C2" s="47" t="s">
        <v>36</v>
      </c>
      <c r="D2" s="864" t="s">
        <v>966</v>
      </c>
      <c r="E2" s="865"/>
      <c r="F2" s="865"/>
      <c r="G2" s="865"/>
      <c r="H2" s="866"/>
      <c r="I2" s="45"/>
      <c r="K2" s="175" t="s">
        <v>700</v>
      </c>
      <c r="L2" s="155"/>
      <c r="M2" s="155"/>
      <c r="N2" s="175">
        <f ca="1">CELL("ZEILE",G64)</f>
        <v>64</v>
      </c>
    </row>
    <row r="3" spans="1:22" ht="15.5" x14ac:dyDescent="0.35">
      <c r="A3" s="833"/>
      <c r="B3" s="46"/>
      <c r="C3" s="47"/>
      <c r="D3" s="47" t="s">
        <v>1157</v>
      </c>
      <c r="E3" s="47"/>
      <c r="F3" s="47"/>
      <c r="G3" s="47"/>
      <c r="H3" s="47"/>
      <c r="I3" s="45"/>
      <c r="K3" s="175" t="s">
        <v>701</v>
      </c>
      <c r="L3" s="155"/>
      <c r="M3" s="155"/>
      <c r="N3" s="175">
        <f>F19</f>
        <v>0</v>
      </c>
    </row>
    <row r="4" spans="1:22" ht="15.5" x14ac:dyDescent="0.35">
      <c r="A4" s="833"/>
      <c r="B4" s="46"/>
      <c r="C4" s="691" t="s">
        <v>908</v>
      </c>
      <c r="D4" s="47"/>
      <c r="E4" s="47"/>
      <c r="F4" s="47"/>
      <c r="G4" s="47"/>
      <c r="H4" s="47"/>
      <c r="I4" s="45"/>
    </row>
    <row r="5" spans="1:22" ht="15.5" x14ac:dyDescent="0.35">
      <c r="A5" s="833"/>
      <c r="B5" s="46"/>
      <c r="C5" s="47" t="s">
        <v>909</v>
      </c>
      <c r="D5" s="47"/>
      <c r="E5" s="47"/>
      <c r="F5" s="47"/>
      <c r="G5" s="45"/>
      <c r="H5" s="669"/>
      <c r="I5" s="45"/>
      <c r="K5" s="667"/>
      <c r="L5" s="668"/>
    </row>
    <row r="6" spans="1:22" ht="15.5" x14ac:dyDescent="0.35">
      <c r="A6" s="833"/>
      <c r="B6" s="46"/>
      <c r="C6" s="47" t="s">
        <v>910</v>
      </c>
      <c r="D6" s="47"/>
      <c r="E6" s="47"/>
      <c r="F6" s="47"/>
      <c r="G6" s="45"/>
      <c r="H6" s="669"/>
      <c r="I6" s="45"/>
      <c r="K6" s="667"/>
      <c r="L6" s="668"/>
    </row>
    <row r="7" spans="1:22" ht="15.5" x14ac:dyDescent="0.35">
      <c r="A7" s="833"/>
      <c r="B7" s="46"/>
      <c r="C7" s="47" t="s">
        <v>911</v>
      </c>
      <c r="D7" s="47"/>
      <c r="E7" s="47"/>
      <c r="F7" s="47"/>
      <c r="G7" s="45"/>
      <c r="H7" s="666"/>
      <c r="I7" s="45"/>
      <c r="K7" s="667"/>
      <c r="L7" s="668"/>
      <c r="P7" s="670"/>
    </row>
    <row r="8" spans="1:22" ht="15.5" x14ac:dyDescent="0.35">
      <c r="A8" s="833"/>
      <c r="B8" s="46"/>
      <c r="C8" s="47" t="s">
        <v>912</v>
      </c>
      <c r="D8" s="47"/>
      <c r="E8" s="47"/>
      <c r="F8" s="47"/>
      <c r="G8" s="45"/>
      <c r="H8" s="692"/>
      <c r="I8" s="45"/>
      <c r="K8" s="667"/>
      <c r="L8" s="668"/>
      <c r="N8" s="254"/>
      <c r="O8" s="254"/>
      <c r="V8" s="671"/>
    </row>
    <row r="9" spans="1:22" ht="15.5" x14ac:dyDescent="0.35">
      <c r="A9" s="833"/>
      <c r="B9" s="46"/>
      <c r="C9" s="47"/>
      <c r="D9" s="47"/>
      <c r="E9" s="47"/>
      <c r="F9" s="47"/>
      <c r="G9" s="45"/>
      <c r="H9" s="45"/>
      <c r="I9" s="45"/>
      <c r="K9" s="254"/>
      <c r="L9" s="254"/>
      <c r="M9" s="254"/>
      <c r="N9" s="254"/>
      <c r="O9" s="254"/>
      <c r="P9" s="670"/>
      <c r="Q9" s="670"/>
      <c r="R9" s="670"/>
      <c r="S9" s="670"/>
      <c r="T9" s="670"/>
      <c r="U9" s="670"/>
    </row>
    <row r="10" spans="1:22" ht="15.5" x14ac:dyDescent="0.35">
      <c r="A10" s="833"/>
      <c r="B10" s="46"/>
      <c r="C10" s="691" t="s">
        <v>958</v>
      </c>
      <c r="D10" s="47"/>
      <c r="E10" s="47"/>
      <c r="F10" s="47"/>
      <c r="G10" s="47"/>
      <c r="H10" s="47"/>
      <c r="I10" s="45"/>
      <c r="K10" s="254"/>
      <c r="L10" s="254"/>
      <c r="M10" s="331"/>
      <c r="N10" s="254"/>
      <c r="O10" s="254"/>
      <c r="P10" s="670"/>
      <c r="Q10" s="670"/>
      <c r="R10" s="670"/>
      <c r="S10" s="670"/>
      <c r="T10" s="670"/>
      <c r="U10" s="674"/>
    </row>
    <row r="11" spans="1:22" ht="15.5" x14ac:dyDescent="0.35">
      <c r="A11" s="833"/>
      <c r="B11" s="46"/>
      <c r="C11" s="47" t="s">
        <v>913</v>
      </c>
      <c r="D11" s="47"/>
      <c r="E11" s="47"/>
      <c r="F11" s="47"/>
      <c r="G11" s="45"/>
      <c r="H11" s="666"/>
      <c r="I11" s="45"/>
      <c r="K11" s="254"/>
      <c r="L11" s="254"/>
      <c r="M11" s="254"/>
      <c r="N11" s="254"/>
      <c r="O11" s="254"/>
      <c r="U11" s="675"/>
    </row>
    <row r="12" spans="1:22" ht="15.5" x14ac:dyDescent="0.35">
      <c r="A12" s="833"/>
      <c r="B12" s="46"/>
      <c r="C12" s="47" t="s">
        <v>914</v>
      </c>
      <c r="D12" s="47"/>
      <c r="E12" s="47"/>
      <c r="F12" s="47"/>
      <c r="G12" s="45"/>
      <c r="H12" s="666"/>
      <c r="I12" s="46"/>
      <c r="K12" s="254"/>
      <c r="L12" s="254"/>
      <c r="M12" s="332"/>
      <c r="N12" s="254"/>
      <c r="O12" s="254"/>
      <c r="U12" s="675"/>
    </row>
    <row r="13" spans="1:22" ht="15.5" x14ac:dyDescent="0.35">
      <c r="A13" s="833"/>
      <c r="B13" s="45"/>
      <c r="C13" s="47" t="s">
        <v>915</v>
      </c>
      <c r="D13" s="47"/>
      <c r="E13" s="47"/>
      <c r="F13" s="47"/>
      <c r="G13" s="45"/>
      <c r="H13" s="669"/>
      <c r="I13" s="46"/>
      <c r="K13" s="254"/>
      <c r="L13" s="254"/>
      <c r="M13" s="332"/>
      <c r="N13" s="254"/>
      <c r="O13" s="254"/>
      <c r="U13" s="675"/>
    </row>
    <row r="14" spans="1:22" ht="15.5" x14ac:dyDescent="0.35">
      <c r="A14" s="833"/>
      <c r="B14" s="46"/>
      <c r="C14" s="47" t="s">
        <v>916</v>
      </c>
      <c r="D14" s="47"/>
      <c r="E14" s="47"/>
      <c r="F14" s="47"/>
      <c r="G14" s="45"/>
      <c r="H14" s="669"/>
      <c r="I14" s="47"/>
      <c r="K14" s="254"/>
      <c r="L14" s="254"/>
      <c r="M14" s="332"/>
      <c r="N14" s="254"/>
      <c r="O14" s="254"/>
      <c r="P14" s="670"/>
      <c r="Q14" s="670"/>
      <c r="R14" s="679"/>
      <c r="S14" s="679"/>
      <c r="U14" s="675"/>
    </row>
    <row r="15" spans="1:22" ht="15.5" x14ac:dyDescent="0.35">
      <c r="A15" s="833"/>
      <c r="B15" s="46"/>
      <c r="C15" s="47" t="s">
        <v>917</v>
      </c>
      <c r="D15" s="47"/>
      <c r="E15" s="47"/>
      <c r="F15" s="47"/>
      <c r="G15" s="45"/>
      <c r="H15" s="692"/>
      <c r="I15" s="47"/>
      <c r="K15" s="254"/>
      <c r="L15" s="254"/>
      <c r="M15" s="332"/>
      <c r="N15" s="254"/>
      <c r="O15" s="254"/>
      <c r="P15" s="693"/>
      <c r="Q15" s="694"/>
      <c r="R15" s="694"/>
      <c r="S15" s="694"/>
      <c r="T15" s="694"/>
      <c r="U15" s="675"/>
    </row>
    <row r="16" spans="1:22" ht="15.5" x14ac:dyDescent="0.35">
      <c r="A16" s="833"/>
      <c r="B16" s="46"/>
      <c r="C16" s="317"/>
      <c r="D16" s="318"/>
      <c r="E16" s="317"/>
      <c r="F16" s="319"/>
      <c r="G16" s="468" t="s">
        <v>633</v>
      </c>
      <c r="H16" s="319"/>
      <c r="I16" s="47"/>
      <c r="K16" s="254"/>
      <c r="L16" s="254"/>
      <c r="M16" s="254"/>
      <c r="N16" s="254"/>
      <c r="O16" s="254"/>
      <c r="P16" s="693"/>
      <c r="Q16" s="694"/>
      <c r="R16" s="694"/>
      <c r="S16" s="694"/>
      <c r="T16" s="694"/>
      <c r="U16" s="675"/>
    </row>
    <row r="17" spans="1:23" ht="15.5" x14ac:dyDescent="0.35">
      <c r="A17" s="833"/>
      <c r="B17" s="46"/>
      <c r="C17" s="47" t="s">
        <v>34</v>
      </c>
      <c r="D17" s="47"/>
      <c r="E17" s="320"/>
      <c r="F17" s="47"/>
      <c r="G17" s="868"/>
      <c r="H17" s="869"/>
      <c r="I17" s="47"/>
      <c r="P17" s="693"/>
      <c r="Q17" s="694"/>
      <c r="R17" s="694"/>
      <c r="S17" s="694"/>
      <c r="T17" s="694"/>
      <c r="U17" s="675"/>
    </row>
    <row r="18" spans="1:23" ht="15.5" x14ac:dyDescent="0.35">
      <c r="A18" s="833"/>
      <c r="B18" s="46"/>
      <c r="C18" s="47" t="s">
        <v>1</v>
      </c>
      <c r="D18" s="47"/>
      <c r="E18" s="321"/>
      <c r="F18" s="47"/>
      <c r="G18" s="868"/>
      <c r="H18" s="869"/>
      <c r="I18" s="45"/>
      <c r="P18" s="695"/>
      <c r="Q18" s="694"/>
      <c r="R18" s="694"/>
      <c r="S18" s="694"/>
      <c r="T18" s="694"/>
      <c r="U18" s="675"/>
    </row>
    <row r="19" spans="1:23" ht="21" x14ac:dyDescent="0.5">
      <c r="A19" s="833"/>
      <c r="B19" s="45"/>
      <c r="C19" s="54" t="str">
        <f>IF(VSK=0, "UNVOLLSTÄNDIG AUSGEFÜLLT!","")</f>
        <v>UNVOLLSTÄNDIG AUSGEFÜLLT!</v>
      </c>
      <c r="D19" s="45"/>
      <c r="E19" s="45"/>
      <c r="F19" s="451">
        <f>IF(ISNUMBER(H6),1,0)</f>
        <v>0</v>
      </c>
      <c r="G19" s="852" t="str">
        <f>IF(VSK&lt;&gt;0, G64,"")</f>
        <v/>
      </c>
      <c r="H19" s="852"/>
      <c r="I19" s="45"/>
      <c r="P19" s="693"/>
      <c r="Q19" s="693"/>
      <c r="R19" s="693"/>
      <c r="S19" s="693"/>
      <c r="T19" s="693"/>
      <c r="U19" s="675"/>
    </row>
    <row r="20" spans="1:23" ht="15.5" x14ac:dyDescent="0.35">
      <c r="A20" s="833"/>
      <c r="B20" s="45"/>
      <c r="C20" s="45"/>
      <c r="D20" s="45"/>
      <c r="E20" s="45"/>
      <c r="F20" s="45"/>
      <c r="G20" s="45"/>
      <c r="H20" s="45"/>
      <c r="I20" s="45"/>
      <c r="P20" s="694"/>
      <c r="Q20" s="694"/>
      <c r="R20" s="694"/>
      <c r="S20" s="694"/>
      <c r="T20" s="694"/>
      <c r="U20" s="675"/>
    </row>
    <row r="21" spans="1:23" ht="15" customHeight="1" x14ac:dyDescent="0.35">
      <c r="A21" s="830" t="s">
        <v>66</v>
      </c>
      <c r="I21" s="577" t="str">
        <f ca="1">IF(VLOOKUP(B27,CHOOSE({5,4,3,2,1},Gesamt!L32:L65,Gesamt!M32:M65,Gesamt!N32:N65,Gesamt!O32:O65,Gesamt!P32:P65,),4,0)&gt;0,CONCATENATE("Pos. ",VLOOKUP(B27,CHOOSE({5,4,3,2,1},Gesamt!L32:L65,Gesamt!M32:M65,Gesamt!N32:N65,Gesamt!O32:O65,Gesamt!P32:P65,),VLOOKUP(Gesamt!C19,Gesamt!L5:N7,3,0),0)),"")</f>
        <v/>
      </c>
      <c r="P21" s="693"/>
      <c r="Q21" s="693"/>
      <c r="R21" s="693"/>
      <c r="S21" s="693"/>
      <c r="T21" s="696"/>
    </row>
    <row r="22" spans="1:23" x14ac:dyDescent="0.35">
      <c r="A22" s="830"/>
      <c r="B22" s="831" t="str">
        <f>CONCATENATE(Gesamt!C2, ": ", Gesamt!E2)</f>
        <v xml:space="preserve">Projekt: </v>
      </c>
      <c r="C22" s="831"/>
      <c r="D22" s="831"/>
      <c r="E22" s="831"/>
      <c r="F22" s="831"/>
      <c r="G22" s="831"/>
      <c r="H22" s="831"/>
      <c r="I22" s="831"/>
      <c r="P22" s="694"/>
      <c r="Q22" s="694"/>
      <c r="R22" s="694"/>
      <c r="S22" s="694"/>
      <c r="T22" s="694"/>
    </row>
    <row r="23" spans="1:23" x14ac:dyDescent="0.35">
      <c r="A23" s="830"/>
      <c r="B23" s="832" t="str">
        <f>CONCATENATE(Gesamt!C4, ": ", Gesamt!E4, IF(Gesamt!E5&lt;&gt;""," - ",""), IF(Gesamt!E5&lt;&gt;"",Gesamt!E5,""), IF(Gesamt!E6&lt;&gt;""," - GZ. ",""), IF(Gesamt!E6&lt;&gt;"",Gesamt!E6,""),)</f>
        <v xml:space="preserve">Auftraggeber: </v>
      </c>
      <c r="C23" s="832"/>
      <c r="D23" s="832"/>
      <c r="E23" s="832"/>
      <c r="F23" s="832"/>
      <c r="G23" s="832"/>
      <c r="H23" s="832"/>
      <c r="I23" s="832"/>
      <c r="P23" s="694"/>
      <c r="Q23" s="694"/>
      <c r="R23" s="694"/>
      <c r="S23" s="694"/>
      <c r="T23" s="697"/>
    </row>
    <row r="24" spans="1:23" x14ac:dyDescent="0.35">
      <c r="A24" s="830"/>
      <c r="B24" s="832" t="str">
        <f>CONCATENATE(Gesamt!C9, ": ",Gesamt!E9,  IF(Gesamt!C10&lt;&gt;""," - ",""), IF(Gesamt!C10&lt;&gt;"",Gesamt!E10,""), IF(Gesamt!C11&lt;&gt;""," - GZ. ",""), IF(Gesamt!C11&lt;&gt;"",Gesamt!E11,""), )</f>
        <v xml:space="preserve">Bieter:  -  - GZ. </v>
      </c>
      <c r="C24" s="832"/>
      <c r="D24" s="832"/>
      <c r="E24" s="832"/>
      <c r="F24" s="832"/>
      <c r="G24" s="832"/>
      <c r="H24" s="832"/>
      <c r="I24" s="832"/>
      <c r="P24" s="694"/>
      <c r="Q24" s="694"/>
      <c r="R24" s="694"/>
      <c r="S24" s="694"/>
      <c r="T24" s="697"/>
    </row>
    <row r="25" spans="1:23" x14ac:dyDescent="0.35">
      <c r="A25" s="830"/>
      <c r="B25" s="832" t="s">
        <v>918</v>
      </c>
      <c r="C25" s="832"/>
      <c r="D25" s="832"/>
      <c r="E25" s="832"/>
      <c r="F25" s="832"/>
      <c r="G25" s="832"/>
      <c r="H25" s="832"/>
      <c r="I25" s="832"/>
      <c r="P25" s="694"/>
      <c r="Q25" s="694"/>
      <c r="R25" s="694"/>
      <c r="S25" s="694"/>
      <c r="T25" s="698"/>
    </row>
    <row r="26" spans="1:23" x14ac:dyDescent="0.35">
      <c r="A26" s="830"/>
      <c r="P26" s="694"/>
      <c r="Q26" s="694"/>
      <c r="R26" s="694"/>
      <c r="S26" s="694"/>
      <c r="T26" s="699"/>
      <c r="U26" s="675"/>
      <c r="V26" s="680"/>
      <c r="W26" s="680"/>
    </row>
    <row r="27" spans="1:23" ht="18.5" x14ac:dyDescent="0.35">
      <c r="A27" s="830"/>
      <c r="B27" s="843" t="str">
        <f>D2</f>
        <v>Einbautenerhebung und -eintragung</v>
      </c>
      <c r="C27" s="843"/>
      <c r="D27" s="843"/>
      <c r="E27" s="843"/>
      <c r="F27" s="843"/>
      <c r="G27" s="843"/>
      <c r="H27" s="843"/>
      <c r="I27" s="843"/>
      <c r="P27" s="694"/>
      <c r="Q27" s="694"/>
      <c r="R27" s="694"/>
      <c r="S27" s="694"/>
      <c r="T27" s="694"/>
    </row>
    <row r="28" spans="1:23" x14ac:dyDescent="0.35">
      <c r="A28" s="830"/>
      <c r="P28" s="694"/>
      <c r="Q28" s="694"/>
      <c r="R28" s="700"/>
      <c r="S28" s="700"/>
      <c r="T28" s="701"/>
    </row>
    <row r="29" spans="1:23" x14ac:dyDescent="0.35">
      <c r="A29" s="830"/>
      <c r="C29" s="152" t="s">
        <v>1158</v>
      </c>
      <c r="P29" s="694"/>
      <c r="Q29" s="694"/>
      <c r="R29" s="700"/>
      <c r="S29" s="700"/>
      <c r="T29" s="701"/>
    </row>
    <row r="30" spans="1:23" x14ac:dyDescent="0.35">
      <c r="A30" s="830"/>
      <c r="C30" s="152"/>
      <c r="P30" s="695"/>
      <c r="Q30" s="694"/>
      <c r="R30" s="700"/>
      <c r="S30" s="700"/>
      <c r="T30" s="701"/>
    </row>
    <row r="31" spans="1:23" x14ac:dyDescent="0.35">
      <c r="A31" s="830"/>
      <c r="C31" s="693" t="s">
        <v>1161</v>
      </c>
      <c r="P31" s="693"/>
      <c r="Q31" s="693"/>
      <c r="R31" s="702"/>
      <c r="S31" s="702"/>
      <c r="T31" s="701"/>
    </row>
    <row r="32" spans="1:23" x14ac:dyDescent="0.35">
      <c r="A32" s="830"/>
      <c r="C32" s="693" t="s">
        <v>919</v>
      </c>
      <c r="P32" s="694"/>
      <c r="Q32" s="694"/>
      <c r="R32" s="700"/>
      <c r="S32" s="700"/>
      <c r="T32" s="698"/>
    </row>
    <row r="33" spans="1:20" x14ac:dyDescent="0.35">
      <c r="A33" s="830"/>
      <c r="P33" s="694"/>
      <c r="Q33" s="694"/>
      <c r="R33" s="700"/>
      <c r="S33" s="700"/>
      <c r="T33" s="698"/>
    </row>
    <row r="34" spans="1:20" x14ac:dyDescent="0.35">
      <c r="A34" s="830"/>
      <c r="M34" s="670"/>
      <c r="P34" s="694"/>
      <c r="Q34" s="694"/>
      <c r="R34" s="700"/>
      <c r="S34" s="700"/>
      <c r="T34" s="697"/>
    </row>
    <row r="35" spans="1:20" x14ac:dyDescent="0.35">
      <c r="A35" s="830"/>
      <c r="C35" t="s">
        <v>959</v>
      </c>
      <c r="E35" s="118">
        <f>Gesamt!E14</f>
        <v>0</v>
      </c>
      <c r="P35" s="694"/>
      <c r="Q35" s="694"/>
      <c r="R35" s="700"/>
      <c r="S35" s="700"/>
      <c r="T35" s="697"/>
    </row>
    <row r="36" spans="1:20" x14ac:dyDescent="0.35">
      <c r="A36" s="830"/>
      <c r="M36" s="670"/>
      <c r="P36" s="694"/>
      <c r="Q36" s="694"/>
      <c r="R36" s="700"/>
      <c r="S36" s="700"/>
      <c r="T36" s="699"/>
    </row>
    <row r="37" spans="1:20" x14ac:dyDescent="0.35">
      <c r="A37" s="830"/>
      <c r="C37" s="695" t="s">
        <v>920</v>
      </c>
      <c r="M37" s="670"/>
      <c r="P37" s="694"/>
      <c r="Q37" s="694"/>
      <c r="R37" s="700"/>
      <c r="S37" s="700"/>
      <c r="T37" s="699"/>
    </row>
    <row r="38" spans="1:20" x14ac:dyDescent="0.35">
      <c r="A38" s="830"/>
      <c r="C38" s="30" t="s">
        <v>921</v>
      </c>
      <c r="M38" s="670"/>
      <c r="P38" s="694"/>
      <c r="Q38" s="694"/>
      <c r="R38" s="700"/>
      <c r="S38" s="700"/>
      <c r="T38" s="699"/>
    </row>
    <row r="39" spans="1:20" ht="6.75" customHeight="1" x14ac:dyDescent="0.35">
      <c r="A39" s="830"/>
      <c r="P39" s="694"/>
      <c r="Q39" s="694"/>
      <c r="R39" s="700"/>
      <c r="S39" s="700"/>
      <c r="T39" s="703"/>
    </row>
    <row r="40" spans="1:20" x14ac:dyDescent="0.35">
      <c r="A40" s="830"/>
      <c r="C40" t="s">
        <v>922</v>
      </c>
      <c r="D40" s="689">
        <f>H5</f>
        <v>0</v>
      </c>
      <c r="E40" t="s">
        <v>923</v>
      </c>
    </row>
    <row r="41" spans="1:20" x14ac:dyDescent="0.35">
      <c r="A41" s="830"/>
      <c r="C41" t="s">
        <v>400</v>
      </c>
      <c r="D41" s="689">
        <f t="shared" ref="D41:D43" si="0">H6</f>
        <v>0</v>
      </c>
      <c r="E41" t="s">
        <v>924</v>
      </c>
    </row>
    <row r="42" spans="1:20" x14ac:dyDescent="0.35">
      <c r="A42" s="830"/>
      <c r="C42" t="s">
        <v>896</v>
      </c>
      <c r="D42" s="499">
        <f t="shared" si="0"/>
        <v>0</v>
      </c>
      <c r="E42" t="s">
        <v>925</v>
      </c>
    </row>
    <row r="43" spans="1:20" x14ac:dyDescent="0.35">
      <c r="A43" s="830"/>
      <c r="C43" t="s">
        <v>926</v>
      </c>
      <c r="D43" s="704">
        <f t="shared" si="0"/>
        <v>0</v>
      </c>
      <c r="E43" t="s">
        <v>927</v>
      </c>
    </row>
    <row r="44" spans="1:20" x14ac:dyDescent="0.35">
      <c r="A44" s="830"/>
      <c r="D44" s="689"/>
    </row>
    <row r="45" spans="1:20" x14ac:dyDescent="0.35">
      <c r="A45" s="830"/>
      <c r="C45" s="3" t="s">
        <v>60</v>
      </c>
      <c r="D45" s="3"/>
      <c r="E45" s="3"/>
      <c r="G45" s="22">
        <f>IF(VSK&lt;&gt;0,(2.82*D40+0.36*D41*(D42-1))*IS+D43,0)</f>
        <v>0</v>
      </c>
      <c r="H45" s="3"/>
      <c r="I45" s="3"/>
    </row>
    <row r="46" spans="1:20" x14ac:dyDescent="0.35">
      <c r="A46" s="830"/>
      <c r="D46" s="689"/>
    </row>
    <row r="47" spans="1:20" x14ac:dyDescent="0.35">
      <c r="A47" s="830"/>
      <c r="D47" s="689"/>
    </row>
    <row r="48" spans="1:20" x14ac:dyDescent="0.35">
      <c r="A48" s="830"/>
      <c r="C48" s="695" t="s">
        <v>928</v>
      </c>
      <c r="D48" s="689"/>
    </row>
    <row r="49" spans="1:9" x14ac:dyDescent="0.35">
      <c r="A49" s="830"/>
      <c r="C49" t="s">
        <v>929</v>
      </c>
      <c r="D49" s="689"/>
    </row>
    <row r="50" spans="1:9" ht="7.5" customHeight="1" x14ac:dyDescent="0.35">
      <c r="A50" s="830"/>
      <c r="D50" s="689"/>
    </row>
    <row r="51" spans="1:9" ht="15.5" x14ac:dyDescent="0.35">
      <c r="A51" s="830"/>
      <c r="C51" t="s">
        <v>930</v>
      </c>
      <c r="D51" s="705">
        <f>H11</f>
        <v>0</v>
      </c>
      <c r="E51" t="s">
        <v>931</v>
      </c>
    </row>
    <row r="52" spans="1:9" ht="15.5" x14ac:dyDescent="0.35">
      <c r="A52" s="830"/>
      <c r="C52" t="s">
        <v>932</v>
      </c>
      <c r="D52" s="705">
        <f t="shared" ref="D52:D55" si="1">H12</f>
        <v>0</v>
      </c>
      <c r="E52" t="s">
        <v>933</v>
      </c>
    </row>
    <row r="53" spans="1:9" ht="15.5" x14ac:dyDescent="0.35">
      <c r="A53" s="830"/>
      <c r="C53" t="s">
        <v>934</v>
      </c>
      <c r="D53" s="706">
        <f t="shared" si="1"/>
        <v>0</v>
      </c>
      <c r="E53" t="s">
        <v>935</v>
      </c>
    </row>
    <row r="54" spans="1:9" ht="15.5" x14ac:dyDescent="0.35">
      <c r="A54" s="830"/>
      <c r="C54" s="690" t="s">
        <v>936</v>
      </c>
      <c r="D54" s="706">
        <f t="shared" si="1"/>
        <v>0</v>
      </c>
      <c r="E54" t="s">
        <v>937</v>
      </c>
      <c r="F54" s="30"/>
    </row>
    <row r="55" spans="1:9" ht="15.5" x14ac:dyDescent="0.35">
      <c r="A55" s="830"/>
      <c r="C55" t="s">
        <v>926</v>
      </c>
      <c r="D55" s="707">
        <f t="shared" si="1"/>
        <v>0</v>
      </c>
      <c r="E55" t="s">
        <v>938</v>
      </c>
    </row>
    <row r="56" spans="1:9" x14ac:dyDescent="0.35">
      <c r="A56" s="830"/>
    </row>
    <row r="57" spans="1:9" x14ac:dyDescent="0.35">
      <c r="A57" s="830"/>
      <c r="C57" s="3" t="s">
        <v>60</v>
      </c>
      <c r="D57" s="3"/>
      <c r="E57" s="3"/>
      <c r="G57" s="22">
        <f>IF(VSK&lt;&gt;0,(7.2*D51+14.4*D52+0.025*D53+0.035*D54)*IS+D55,0)</f>
        <v>0</v>
      </c>
      <c r="H57" s="3"/>
      <c r="I57" s="3"/>
    </row>
    <row r="58" spans="1:9" x14ac:dyDescent="0.35">
      <c r="A58" s="830"/>
      <c r="F58" s="28"/>
    </row>
    <row r="59" spans="1:9" x14ac:dyDescent="0.35">
      <c r="A59" s="830"/>
    </row>
    <row r="60" spans="1:9" x14ac:dyDescent="0.35">
      <c r="A60" s="830"/>
      <c r="C60" t="str">
        <f>IF(AND(ZuAbschlag&lt;&gt;0,VSK&lt;&gt;0),"Zu-/Abschlag:","")</f>
        <v/>
      </c>
      <c r="E60" s="15" t="str">
        <f>IF(AND(ZuAbschlag&lt;&gt;0,VSK&lt;&gt;0),ZuAbschlag,"")</f>
        <v/>
      </c>
      <c r="F60" s="17" t="str">
        <f>IF(AND(ZuAbschlag&lt;&gt;0,VSK&lt;&gt;0),(SUM(G45,G57))*E60,"")</f>
        <v/>
      </c>
      <c r="G60" s="1" t="str">
        <f>IF(AND(ZuAbschlag&lt;&gt;0,VSK&lt;&gt;0,G17&lt;&gt;""),G17,"")</f>
        <v/>
      </c>
    </row>
    <row r="61" spans="1:9" x14ac:dyDescent="0.35">
      <c r="A61" s="830"/>
      <c r="B61" s="3"/>
      <c r="C61" t="str">
        <f>IF(AND(NK&lt;&gt;0,VSK&lt;&gt;0),"Nebenkosten:","")</f>
        <v/>
      </c>
      <c r="F61" s="17" t="str">
        <f>IF(AND(NK&lt;&gt;0,VSK&lt;&gt;0),NK,"")</f>
        <v/>
      </c>
      <c r="G61" s="1" t="str">
        <f>IF(AND(NK&lt;&gt;0,VSK&lt;&gt;0,G18&lt;&gt;""),G18,"")</f>
        <v/>
      </c>
    </row>
    <row r="62" spans="1:9" x14ac:dyDescent="0.35">
      <c r="A62" s="830"/>
      <c r="C62" s="78"/>
      <c r="D62" s="78"/>
      <c r="E62" s="78"/>
      <c r="F62" s="78"/>
      <c r="G62" s="78"/>
      <c r="H62" s="78"/>
    </row>
    <row r="63" spans="1:9" x14ac:dyDescent="0.35">
      <c r="A63" s="830"/>
    </row>
    <row r="64" spans="1:9" ht="15.5" x14ac:dyDescent="0.35">
      <c r="A64" s="830"/>
      <c r="C64" s="16" t="s">
        <v>65</v>
      </c>
      <c r="D64" s="16"/>
      <c r="E64" s="16"/>
      <c r="F64" s="16"/>
      <c r="G64" s="842">
        <f>IF(VSK&gt;0,SUM(G45,G57,F60,F61),0)</f>
        <v>0</v>
      </c>
      <c r="H64" s="842"/>
    </row>
    <row r="65" spans="1:1" x14ac:dyDescent="0.35">
      <c r="A65" s="830"/>
    </row>
    <row r="66" spans="1:1" x14ac:dyDescent="0.35">
      <c r="A66" s="830"/>
    </row>
    <row r="67" spans="1:1" x14ac:dyDescent="0.35">
      <c r="A67" s="830"/>
    </row>
    <row r="68" spans="1:1" x14ac:dyDescent="0.35">
      <c r="A68" s="830"/>
    </row>
  </sheetData>
  <mergeCells count="12">
    <mergeCell ref="B27:I27"/>
    <mergeCell ref="G64:H64"/>
    <mergeCell ref="A1:A20"/>
    <mergeCell ref="D2:H2"/>
    <mergeCell ref="G17:H17"/>
    <mergeCell ref="G18:H18"/>
    <mergeCell ref="G19:H19"/>
    <mergeCell ref="A21:A68"/>
    <mergeCell ref="B22:I22"/>
    <mergeCell ref="B23:I23"/>
    <mergeCell ref="B24:I24"/>
    <mergeCell ref="B25:I25"/>
  </mergeCells>
  <dataValidations count="5">
    <dataValidation type="decimal" operator="greaterThan" allowBlank="1" showInputMessage="1" showErrorMessage="1" error="Positive Zahl eingeben" sqref="H8 H15" xr:uid="{00000000-0002-0000-2000-000000000000}">
      <formula1>-0.00000001</formula1>
    </dataValidation>
    <dataValidation type="decimal" operator="greaterThan" allowBlank="1" showInputMessage="1" showErrorMessage="1" sqref="E18" xr:uid="{00000000-0002-0000-2000-000001000000}">
      <formula1>-1000000</formula1>
    </dataValidation>
    <dataValidation type="decimal" operator="greaterThan" showInputMessage="1" showErrorMessage="1" sqref="E17" xr:uid="{00000000-0002-0000-2000-000002000000}">
      <formula1>-1000</formula1>
    </dataValidation>
    <dataValidation type="decimal" operator="greaterThan" allowBlank="1" showInputMessage="1" showErrorMessage="1" errorTitle="Aufnahmelänge" error="Poitive Zahl eingeben" sqref="H7 H11:H12" xr:uid="{00000000-0002-0000-2000-000003000000}">
      <formula1>-0.000000001</formula1>
    </dataValidation>
    <dataValidation type="whole" operator="greaterThan" allowBlank="1" showInputMessage="1" showErrorMessage="1" error="Positive Zahl eingeben" sqref="H5:H6 H13:H14" xr:uid="{00000000-0002-0000-2000-000004000000}">
      <formula1>-1</formula1>
    </dataValidation>
  </dataValidations>
  <pageMargins left="0.70866141732283472" right="0.39370078740157483" top="0.59055118110236227" bottom="0.59055118110236227" header="0.31496062992125984" footer="0.31496062992125984"/>
  <pageSetup paperSize="9" orientation="portrait" r:id="rId1"/>
  <headerFooter>
    <oddFooter>&amp;L&amp;9&amp;F, &amp;A&amp;R&amp;9&amp;D</oddFooter>
  </headerFooter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Tabelle3">
    <tabColor theme="7" tint="0.39997558519241921"/>
  </sheetPr>
  <dimension ref="A1:BG187"/>
  <sheetViews>
    <sheetView tabSelected="1" topLeftCell="A4" workbookViewId="0">
      <pane xSplit="1" topLeftCell="B1" activePane="topRight" state="frozen"/>
      <selection pane="topRight" activeCell="B34" sqref="A34:XFD34"/>
    </sheetView>
  </sheetViews>
  <sheetFormatPr baseColWidth="10" defaultRowHeight="14.5" x14ac:dyDescent="0.35"/>
  <cols>
    <col min="1" max="1" width="4" customWidth="1"/>
    <col min="16" max="16" width="12.7265625" customWidth="1"/>
  </cols>
  <sheetData>
    <row r="1" spans="1:14" ht="15" customHeight="1" x14ac:dyDescent="0.35">
      <c r="A1" s="1002" t="s">
        <v>660</v>
      </c>
    </row>
    <row r="2" spans="1:14" x14ac:dyDescent="0.35">
      <c r="A2" s="1002"/>
      <c r="F2" t="s">
        <v>788</v>
      </c>
    </row>
    <row r="3" spans="1:14" x14ac:dyDescent="0.35">
      <c r="A3" s="1002"/>
      <c r="C3" s="73" t="s">
        <v>17</v>
      </c>
      <c r="D3" s="74">
        <v>1</v>
      </c>
      <c r="F3" s="73" t="s">
        <v>255</v>
      </c>
      <c r="G3" s="74">
        <v>1</v>
      </c>
      <c r="H3" s="234" t="s">
        <v>823</v>
      </c>
      <c r="J3" s="73" t="s">
        <v>138</v>
      </c>
      <c r="K3" s="74">
        <v>1</v>
      </c>
      <c r="M3" s="73" t="s">
        <v>784</v>
      </c>
      <c r="N3" s="162">
        <v>1</v>
      </c>
    </row>
    <row r="4" spans="1:14" x14ac:dyDescent="0.35">
      <c r="A4" s="1002"/>
      <c r="C4" s="75" t="s">
        <v>20</v>
      </c>
      <c r="D4" s="76">
        <v>1.6</v>
      </c>
      <c r="F4" s="75" t="s">
        <v>176</v>
      </c>
      <c r="G4" s="76">
        <v>1.2</v>
      </c>
      <c r="H4" s="234" t="s">
        <v>789</v>
      </c>
      <c r="J4" s="77" t="s">
        <v>139</v>
      </c>
      <c r="K4" s="79">
        <v>0</v>
      </c>
      <c r="M4" s="75" t="s">
        <v>785</v>
      </c>
      <c r="N4" s="163">
        <v>1</v>
      </c>
    </row>
    <row r="5" spans="1:14" x14ac:dyDescent="0.35">
      <c r="A5" s="1002"/>
      <c r="C5" s="75" t="s">
        <v>23</v>
      </c>
      <c r="D5" s="76">
        <v>2.2000000000000002</v>
      </c>
      <c r="F5" s="77" t="s">
        <v>786</v>
      </c>
      <c r="G5" s="79">
        <v>1.4</v>
      </c>
      <c r="H5" s="234" t="s">
        <v>790</v>
      </c>
      <c r="M5" s="75" t="s">
        <v>139</v>
      </c>
      <c r="N5" s="163">
        <v>0</v>
      </c>
    </row>
    <row r="6" spans="1:14" x14ac:dyDescent="0.35">
      <c r="A6" s="1002"/>
      <c r="C6" s="75" t="s">
        <v>18</v>
      </c>
      <c r="D6" s="76">
        <v>1.3</v>
      </c>
      <c r="J6" s="73" t="s">
        <v>138</v>
      </c>
      <c r="K6" s="542">
        <v>1</v>
      </c>
      <c r="M6" s="77" t="s">
        <v>787</v>
      </c>
      <c r="N6" s="244">
        <v>2</v>
      </c>
    </row>
    <row r="7" spans="1:14" x14ac:dyDescent="0.35">
      <c r="A7" s="1002"/>
      <c r="C7" s="75" t="s">
        <v>21</v>
      </c>
      <c r="D7" s="76">
        <v>2.1</v>
      </c>
      <c r="J7" s="77" t="s">
        <v>139</v>
      </c>
      <c r="K7" s="79">
        <v>0</v>
      </c>
    </row>
    <row r="8" spans="1:14" x14ac:dyDescent="0.35">
      <c r="A8" s="1002"/>
      <c r="C8" s="75" t="s">
        <v>24</v>
      </c>
      <c r="D8" s="76">
        <v>2.9</v>
      </c>
    </row>
    <row r="9" spans="1:14" x14ac:dyDescent="0.35">
      <c r="A9" s="1002"/>
      <c r="C9" s="75" t="s">
        <v>19</v>
      </c>
      <c r="D9" s="76">
        <v>1.6</v>
      </c>
    </row>
    <row r="10" spans="1:14" x14ac:dyDescent="0.35">
      <c r="A10" s="1002"/>
      <c r="C10" s="75" t="s">
        <v>22</v>
      </c>
      <c r="D10" s="76">
        <v>2.6</v>
      </c>
    </row>
    <row r="11" spans="1:14" x14ac:dyDescent="0.35">
      <c r="A11" s="1002"/>
      <c r="C11" s="77" t="s">
        <v>25</v>
      </c>
      <c r="D11" s="79">
        <v>3.5</v>
      </c>
    </row>
    <row r="12" spans="1:14" x14ac:dyDescent="0.35">
      <c r="A12" s="1002"/>
    </row>
    <row r="13" spans="1:14" x14ac:dyDescent="0.35">
      <c r="A13" s="1002"/>
    </row>
    <row r="14" spans="1:14" x14ac:dyDescent="0.35">
      <c r="A14" s="1002"/>
    </row>
    <row r="15" spans="1:14" x14ac:dyDescent="0.35">
      <c r="A15" s="1002"/>
    </row>
    <row r="16" spans="1:14" x14ac:dyDescent="0.35">
      <c r="A16" s="1002"/>
    </row>
    <row r="17" spans="1:59" x14ac:dyDescent="0.35">
      <c r="A17" s="1002"/>
    </row>
    <row r="18" spans="1:59" x14ac:dyDescent="0.35">
      <c r="A18" s="1002"/>
    </row>
    <row r="19" spans="1:59" s="5" customFormat="1" ht="15" thickBot="1" x14ac:dyDescent="0.4">
      <c r="A19" s="1003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</row>
    <row r="20" spans="1:59" s="6" customFormat="1" ht="15.75" customHeight="1" thickTop="1" x14ac:dyDescent="0.35">
      <c r="A20" s="1004" t="s">
        <v>661</v>
      </c>
      <c r="B20" s="6" t="s">
        <v>453</v>
      </c>
      <c r="V20" s="269"/>
      <c r="W20" s="82" t="s">
        <v>454</v>
      </c>
      <c r="AR20" s="269"/>
      <c r="AS20" s="82" t="s">
        <v>84</v>
      </c>
    </row>
    <row r="21" spans="1:59" ht="15" thickBot="1" x14ac:dyDescent="0.4">
      <c r="A21" s="1002"/>
      <c r="C21" t="s">
        <v>455</v>
      </c>
      <c r="G21" s="57" t="s">
        <v>190</v>
      </c>
      <c r="I21" t="s">
        <v>456</v>
      </c>
      <c r="P21" t="s">
        <v>457</v>
      </c>
      <c r="V21" s="270"/>
      <c r="W21" s="83"/>
      <c r="AR21" s="270"/>
      <c r="AS21" s="83"/>
    </row>
    <row r="22" spans="1:59" x14ac:dyDescent="0.35">
      <c r="A22" s="1002"/>
      <c r="C22" t="s">
        <v>275</v>
      </c>
      <c r="G22" s="57">
        <v>1</v>
      </c>
      <c r="I22" s="271" t="s">
        <v>458</v>
      </c>
      <c r="J22" s="1005" t="s">
        <v>459</v>
      </c>
      <c r="K22" s="1006"/>
      <c r="L22" s="1006"/>
      <c r="M22" s="1006"/>
      <c r="N22" s="1007"/>
      <c r="P22" s="272" t="s">
        <v>246</v>
      </c>
      <c r="Q22" s="1015" t="s">
        <v>460</v>
      </c>
      <c r="R22" s="1006"/>
      <c r="S22" s="1006"/>
      <c r="T22" s="1006"/>
      <c r="U22" s="273" t="s">
        <v>461</v>
      </c>
      <c r="V22" s="270"/>
      <c r="W22" s="83"/>
      <c r="X22" t="s">
        <v>259</v>
      </c>
      <c r="AE22" s="39" t="s">
        <v>28</v>
      </c>
      <c r="AF22" s="40" t="s">
        <v>140</v>
      </c>
      <c r="AR22" s="270"/>
      <c r="AS22" s="83"/>
      <c r="AT22" t="s">
        <v>259</v>
      </c>
    </row>
    <row r="23" spans="1:59" ht="15" thickBot="1" x14ac:dyDescent="0.4">
      <c r="A23" s="1002"/>
      <c r="C23" t="s">
        <v>462</v>
      </c>
      <c r="G23" s="57">
        <v>0.75</v>
      </c>
      <c r="I23" s="274"/>
      <c r="J23" s="275">
        <v>100</v>
      </c>
      <c r="K23" s="275">
        <v>200</v>
      </c>
      <c r="L23" s="275">
        <v>300</v>
      </c>
      <c r="M23" s="275">
        <v>400</v>
      </c>
      <c r="N23" s="275">
        <v>600</v>
      </c>
      <c r="P23" s="274"/>
      <c r="Q23" s="275">
        <v>2000</v>
      </c>
      <c r="R23" s="275">
        <v>7000</v>
      </c>
      <c r="S23" s="275">
        <v>12000</v>
      </c>
      <c r="T23" s="276">
        <v>25000</v>
      </c>
      <c r="U23" s="277">
        <v>50000</v>
      </c>
      <c r="V23" s="270"/>
      <c r="W23" s="83"/>
      <c r="X23" t="s">
        <v>463</v>
      </c>
      <c r="AE23" s="41" t="s">
        <v>17</v>
      </c>
      <c r="AF23" s="43">
        <v>1</v>
      </c>
      <c r="AG23">
        <v>1</v>
      </c>
      <c r="AH23" s="30" t="s">
        <v>1090</v>
      </c>
      <c r="AN23">
        <v>2.319</v>
      </c>
      <c r="AO23">
        <v>2.355</v>
      </c>
      <c r="AP23">
        <v>0.34699999999999998</v>
      </c>
      <c r="AQ23">
        <v>0.64</v>
      </c>
      <c r="AR23" s="270"/>
      <c r="AS23" s="83"/>
      <c r="AT23" t="s">
        <v>464</v>
      </c>
      <c r="AZ23" t="s">
        <v>465</v>
      </c>
      <c r="BE23">
        <v>1.4159999999999999</v>
      </c>
      <c r="BF23">
        <v>7.8209999999999997</v>
      </c>
      <c r="BG23">
        <v>1</v>
      </c>
    </row>
    <row r="24" spans="1:59" ht="15.5" thickTop="1" thickBot="1" x14ac:dyDescent="0.4">
      <c r="A24" s="1002"/>
      <c r="C24" t="s">
        <v>466</v>
      </c>
      <c r="G24" s="57">
        <v>1</v>
      </c>
      <c r="I24" s="278">
        <v>4</v>
      </c>
      <c r="J24" s="279">
        <v>40.5</v>
      </c>
      <c r="K24" s="279">
        <v>49.8</v>
      </c>
      <c r="L24" s="279">
        <v>55.62</v>
      </c>
      <c r="M24" s="279">
        <v>59.33</v>
      </c>
      <c r="N24" s="279">
        <v>62.09</v>
      </c>
      <c r="P24" s="280" t="s">
        <v>467</v>
      </c>
      <c r="Q24" s="281">
        <v>24.13</v>
      </c>
      <c r="R24" s="281">
        <v>30.29</v>
      </c>
      <c r="S24" s="281">
        <v>33.549999999999997</v>
      </c>
      <c r="T24" s="282">
        <v>36.549999999999997</v>
      </c>
      <c r="U24" s="283">
        <v>36.549999999999997</v>
      </c>
      <c r="V24" s="270"/>
      <c r="W24" s="83"/>
      <c r="X24" t="s">
        <v>298</v>
      </c>
      <c r="AE24" s="41" t="s">
        <v>18</v>
      </c>
      <c r="AF24" s="43">
        <v>1.3</v>
      </c>
      <c r="AG24">
        <v>2</v>
      </c>
      <c r="AH24" s="30" t="s">
        <v>1091</v>
      </c>
      <c r="AN24">
        <v>2.319</v>
      </c>
      <c r="AO24">
        <v>1.694</v>
      </c>
      <c r="AP24">
        <v>0.124</v>
      </c>
      <c r="AQ24">
        <v>0.64</v>
      </c>
      <c r="AR24" s="270"/>
      <c r="AS24" s="83"/>
      <c r="AT24" t="s">
        <v>468</v>
      </c>
      <c r="AZ24" t="s">
        <v>469</v>
      </c>
      <c r="BE24">
        <v>0.47399999999999998</v>
      </c>
      <c r="BF24">
        <v>6.8090000000000002</v>
      </c>
      <c r="BG24">
        <v>1</v>
      </c>
    </row>
    <row r="25" spans="1:59" ht="15" thickBot="1" x14ac:dyDescent="0.4">
      <c r="A25" s="1002"/>
      <c r="C25" t="s">
        <v>470</v>
      </c>
      <c r="G25" s="57">
        <v>0.65</v>
      </c>
      <c r="I25" s="278">
        <v>5</v>
      </c>
      <c r="J25" s="279">
        <v>56.34</v>
      </c>
      <c r="K25" s="279">
        <v>69.31</v>
      </c>
      <c r="L25" s="279">
        <v>77.44</v>
      </c>
      <c r="M25" s="279">
        <v>82.61</v>
      </c>
      <c r="N25" s="279">
        <v>86.46</v>
      </c>
      <c r="P25" s="280" t="s">
        <v>471</v>
      </c>
      <c r="Q25" s="281">
        <v>6.83</v>
      </c>
      <c r="R25" s="281">
        <v>7.69</v>
      </c>
      <c r="S25" s="281">
        <v>8.15</v>
      </c>
      <c r="T25" s="282">
        <v>8.56</v>
      </c>
      <c r="U25" s="284">
        <v>8.56</v>
      </c>
      <c r="V25" s="270"/>
      <c r="W25" s="83"/>
      <c r="X25" t="s">
        <v>472</v>
      </c>
      <c r="AE25" s="41" t="s">
        <v>19</v>
      </c>
      <c r="AF25" s="43">
        <v>1.6</v>
      </c>
      <c r="AG25">
        <v>3</v>
      </c>
      <c r="AH25" s="30" t="s">
        <v>1092</v>
      </c>
      <c r="AN25">
        <v>2.319</v>
      </c>
      <c r="AO25">
        <v>2.355</v>
      </c>
      <c r="AP25">
        <v>0.49199999999999999</v>
      </c>
      <c r="AQ25">
        <v>0.64</v>
      </c>
      <c r="AR25" s="270"/>
      <c r="AS25" s="83"/>
      <c r="AT25" t="s">
        <v>306</v>
      </c>
      <c r="AZ25" t="s">
        <v>473</v>
      </c>
      <c r="BE25">
        <v>1.4159999999999999</v>
      </c>
      <c r="BF25">
        <v>7.8209999999999997</v>
      </c>
      <c r="BG25">
        <v>1.1539999999999999</v>
      </c>
    </row>
    <row r="26" spans="1:59" ht="15" thickBot="1" x14ac:dyDescent="0.4">
      <c r="A26" s="1002"/>
      <c r="I26" s="278">
        <v>6</v>
      </c>
      <c r="J26" s="279">
        <v>70.3</v>
      </c>
      <c r="K26" s="279">
        <v>86.44</v>
      </c>
      <c r="L26" s="279">
        <v>96.56</v>
      </c>
      <c r="M26" s="279">
        <v>102.99</v>
      </c>
      <c r="N26" s="279">
        <v>107.79</v>
      </c>
      <c r="V26" s="270"/>
      <c r="W26" s="83"/>
      <c r="X26" t="s">
        <v>474</v>
      </c>
      <c r="AE26" s="41" t="s">
        <v>20</v>
      </c>
      <c r="AF26" s="43">
        <v>1.1499999999999999</v>
      </c>
      <c r="AG26">
        <v>4</v>
      </c>
      <c r="AH26" s="30" t="s">
        <v>1093</v>
      </c>
      <c r="AN26">
        <v>2.319</v>
      </c>
      <c r="AO26">
        <v>1.694</v>
      </c>
      <c r="AP26">
        <v>0.25900000000000001</v>
      </c>
      <c r="AQ26">
        <v>0.64</v>
      </c>
      <c r="AR26" s="270"/>
      <c r="AS26" s="83"/>
      <c r="AT26" t="s">
        <v>475</v>
      </c>
      <c r="AZ26" t="s">
        <v>476</v>
      </c>
      <c r="BE26">
        <v>0.47399999999999998</v>
      </c>
      <c r="BF26">
        <v>6.8090000000000002</v>
      </c>
      <c r="BG26">
        <v>1.1539999999999999</v>
      </c>
    </row>
    <row r="27" spans="1:59" ht="15" thickBot="1" x14ac:dyDescent="0.4">
      <c r="A27" s="1002"/>
      <c r="C27" t="s">
        <v>335</v>
      </c>
      <c r="E27" t="s">
        <v>477</v>
      </c>
      <c r="I27" s="278">
        <v>7</v>
      </c>
      <c r="J27" s="279">
        <v>82.94</v>
      </c>
      <c r="K27" s="279">
        <v>101.75</v>
      </c>
      <c r="L27" s="279">
        <v>113.65</v>
      </c>
      <c r="M27" s="279">
        <v>121.22</v>
      </c>
      <c r="N27" s="279">
        <v>127.36</v>
      </c>
      <c r="V27" s="270"/>
      <c r="W27" s="83"/>
      <c r="AE27" s="41" t="s">
        <v>21</v>
      </c>
      <c r="AF27" s="43">
        <v>1.45</v>
      </c>
      <c r="AG27" t="s">
        <v>478</v>
      </c>
      <c r="AH27" s="30"/>
      <c r="AR27" s="270"/>
      <c r="AS27" s="83"/>
    </row>
    <row r="28" spans="1:59" ht="15" thickBot="1" x14ac:dyDescent="0.4">
      <c r="A28" s="1002"/>
      <c r="C28" t="s">
        <v>479</v>
      </c>
      <c r="D28" s="268">
        <v>0.85</v>
      </c>
      <c r="E28" s="1" t="s">
        <v>479</v>
      </c>
      <c r="F28" s="268">
        <v>1.2</v>
      </c>
      <c r="I28" s="278" t="s">
        <v>480</v>
      </c>
      <c r="J28" s="279">
        <v>11.74</v>
      </c>
      <c r="K28" s="279">
        <v>14.54</v>
      </c>
      <c r="L28" s="279">
        <v>16.23</v>
      </c>
      <c r="M28" s="279">
        <v>17.32</v>
      </c>
      <c r="N28" s="279">
        <v>18.12</v>
      </c>
      <c r="V28" s="270"/>
      <c r="W28" s="83"/>
      <c r="AE28" s="41" t="s">
        <v>22</v>
      </c>
      <c r="AF28" s="43">
        <v>1.75</v>
      </c>
      <c r="AG28">
        <v>5</v>
      </c>
      <c r="AH28" s="30" t="s">
        <v>1094</v>
      </c>
      <c r="AN28">
        <v>1.228</v>
      </c>
      <c r="AO28">
        <v>1.7589999999999999</v>
      </c>
      <c r="AP28">
        <v>0.29099999999999998</v>
      </c>
      <c r="AQ28">
        <v>0.63900000000000001</v>
      </c>
      <c r="AR28" s="270"/>
      <c r="AS28" s="83"/>
    </row>
    <row r="29" spans="1:59" x14ac:dyDescent="0.35">
      <c r="A29" s="1002"/>
      <c r="C29" t="s">
        <v>271</v>
      </c>
      <c r="D29" s="268">
        <v>1</v>
      </c>
      <c r="E29" s="1" t="s">
        <v>271</v>
      </c>
      <c r="F29" s="268">
        <v>1</v>
      </c>
      <c r="V29" s="270"/>
      <c r="W29" s="83"/>
      <c r="X29" t="s">
        <v>481</v>
      </c>
      <c r="AA29" t="s">
        <v>455</v>
      </c>
      <c r="AE29" s="41" t="s">
        <v>23</v>
      </c>
      <c r="AF29" s="43">
        <v>1.4</v>
      </c>
      <c r="AG29">
        <v>6</v>
      </c>
      <c r="AH29" s="30" t="s">
        <v>1095</v>
      </c>
      <c r="AN29">
        <v>1.228</v>
      </c>
      <c r="AO29">
        <v>1.173</v>
      </c>
      <c r="AP29">
        <v>5.8000000000000003E-2</v>
      </c>
      <c r="AQ29">
        <v>0.63900000000000001</v>
      </c>
      <c r="AR29" s="270"/>
      <c r="AS29" s="83"/>
    </row>
    <row r="30" spans="1:59" x14ac:dyDescent="0.35">
      <c r="A30" s="1002"/>
      <c r="G30" s="57"/>
      <c r="V30" s="270"/>
      <c r="W30" s="83"/>
      <c r="X30" t="s">
        <v>482</v>
      </c>
      <c r="Z30" s="1">
        <v>0</v>
      </c>
      <c r="AA30" t="s">
        <v>483</v>
      </c>
      <c r="AE30" s="41" t="s">
        <v>24</v>
      </c>
      <c r="AF30" s="43">
        <v>1.75</v>
      </c>
      <c r="AG30">
        <v>7</v>
      </c>
      <c r="AH30" s="30" t="s">
        <v>1096</v>
      </c>
      <c r="AN30">
        <v>1.228</v>
      </c>
      <c r="AO30">
        <v>1.7589999999999999</v>
      </c>
      <c r="AP30">
        <v>0.38500000000000001</v>
      </c>
      <c r="AQ30">
        <v>0.63900000000000001</v>
      </c>
      <c r="AR30" s="270"/>
      <c r="AS30" s="83"/>
    </row>
    <row r="31" spans="1:59" x14ac:dyDescent="0.35">
      <c r="A31" s="1002"/>
      <c r="C31" t="s">
        <v>484</v>
      </c>
      <c r="E31" s="249" t="s">
        <v>485</v>
      </c>
      <c r="F31" s="285"/>
      <c r="M31" s="30" t="s">
        <v>486</v>
      </c>
      <c r="V31" s="270"/>
      <c r="W31" s="83"/>
      <c r="X31" t="s">
        <v>300</v>
      </c>
      <c r="Z31" s="1">
        <v>4</v>
      </c>
      <c r="AA31" t="s">
        <v>487</v>
      </c>
      <c r="AE31" s="41" t="s">
        <v>25</v>
      </c>
      <c r="AF31" s="43">
        <v>2</v>
      </c>
      <c r="AG31">
        <v>8</v>
      </c>
      <c r="AH31" s="30" t="s">
        <v>1097</v>
      </c>
      <c r="AN31">
        <v>1.228</v>
      </c>
      <c r="AO31">
        <v>1.173</v>
      </c>
      <c r="AP31">
        <v>0.152</v>
      </c>
      <c r="AQ31">
        <v>0.63900000000000001</v>
      </c>
      <c r="AR31" s="270"/>
      <c r="AS31" s="83"/>
    </row>
    <row r="32" spans="1:59" x14ac:dyDescent="0.35">
      <c r="A32" s="1002"/>
      <c r="C32" t="s">
        <v>457</v>
      </c>
      <c r="E32" t="s">
        <v>488</v>
      </c>
      <c r="M32" s="30" t="s">
        <v>489</v>
      </c>
      <c r="V32" s="270"/>
      <c r="W32" s="83"/>
      <c r="AR32" s="270"/>
      <c r="AS32" s="83"/>
    </row>
    <row r="33" spans="1:45" x14ac:dyDescent="0.35">
      <c r="A33" s="1002"/>
      <c r="E33" s="286"/>
      <c r="V33" s="270"/>
      <c r="W33" s="83"/>
      <c r="AG33" s="30"/>
      <c r="AR33" s="270"/>
      <c r="AS33" s="83"/>
    </row>
    <row r="34" spans="1:45" s="5" customFormat="1" ht="15" thickBot="1" x14ac:dyDescent="0.4">
      <c r="A34" s="1003"/>
      <c r="V34" s="287"/>
      <c r="W34" s="85"/>
      <c r="AR34" s="287"/>
      <c r="AS34" s="85"/>
    </row>
    <row r="35" spans="1:45" s="6" customFormat="1" ht="15" thickTop="1" x14ac:dyDescent="0.35">
      <c r="A35" s="1004" t="s">
        <v>662</v>
      </c>
      <c r="B35" s="6" t="s">
        <v>536</v>
      </c>
      <c r="W35" s="82" t="s">
        <v>537</v>
      </c>
    </row>
    <row r="36" spans="1:45" ht="15.75" customHeight="1" x14ac:dyDescent="0.35">
      <c r="A36" s="1002"/>
      <c r="D36" s="122" t="s">
        <v>140</v>
      </c>
      <c r="E36" s="122" t="s">
        <v>370</v>
      </c>
      <c r="F36" s="122" t="s">
        <v>368</v>
      </c>
      <c r="K36" t="s">
        <v>538</v>
      </c>
      <c r="N36" s="122">
        <v>1</v>
      </c>
      <c r="O36" t="s">
        <v>671</v>
      </c>
      <c r="W36" s="83"/>
      <c r="Y36" t="s">
        <v>539</v>
      </c>
      <c r="AA36" s="122">
        <v>5.95</v>
      </c>
      <c r="AB36" s="1">
        <v>0.46</v>
      </c>
      <c r="AC36" t="s">
        <v>1130</v>
      </c>
    </row>
    <row r="37" spans="1:45" x14ac:dyDescent="0.35">
      <c r="A37" s="1002"/>
      <c r="C37" t="s">
        <v>366</v>
      </c>
      <c r="D37" s="122">
        <v>0</v>
      </c>
      <c r="E37" s="122">
        <v>0</v>
      </c>
      <c r="F37" s="122">
        <v>0</v>
      </c>
      <c r="K37" t="s">
        <v>540</v>
      </c>
      <c r="N37" s="122">
        <v>1</v>
      </c>
      <c r="O37" t="s">
        <v>672</v>
      </c>
      <c r="W37" s="83"/>
      <c r="Y37" t="s">
        <v>335</v>
      </c>
      <c r="AA37" s="122">
        <v>5.26</v>
      </c>
      <c r="AB37" s="1">
        <v>0.43</v>
      </c>
      <c r="AC37" t="s">
        <v>1131</v>
      </c>
    </row>
    <row r="38" spans="1:45" x14ac:dyDescent="0.35">
      <c r="A38" s="1002"/>
      <c r="C38" t="s">
        <v>541</v>
      </c>
      <c r="D38" s="122">
        <v>0.2</v>
      </c>
      <c r="E38" s="122">
        <v>0.15</v>
      </c>
      <c r="F38" s="122">
        <v>0.15</v>
      </c>
      <c r="K38" t="s">
        <v>362</v>
      </c>
      <c r="N38" s="122">
        <v>0.8</v>
      </c>
      <c r="O38" t="s">
        <v>673</v>
      </c>
      <c r="W38" s="83"/>
    </row>
    <row r="39" spans="1:45" x14ac:dyDescent="0.35">
      <c r="A39" s="1002"/>
      <c r="C39" t="s">
        <v>542</v>
      </c>
      <c r="D39" s="122">
        <v>0.4</v>
      </c>
      <c r="E39" s="122">
        <v>0.3</v>
      </c>
      <c r="F39" s="122">
        <v>0.3</v>
      </c>
      <c r="K39" t="s">
        <v>543</v>
      </c>
      <c r="N39" s="122">
        <v>0.5</v>
      </c>
      <c r="O39" t="s">
        <v>674</v>
      </c>
      <c r="W39" s="83"/>
      <c r="Y39" s="39" t="s">
        <v>28</v>
      </c>
      <c r="Z39" s="40" t="s">
        <v>252</v>
      </c>
      <c r="AC39" t="s">
        <v>544</v>
      </c>
    </row>
    <row r="40" spans="1:45" x14ac:dyDescent="0.35">
      <c r="A40" s="1002"/>
      <c r="K40" t="s">
        <v>545</v>
      </c>
      <c r="N40" s="122">
        <v>0.85</v>
      </c>
      <c r="O40" t="s">
        <v>675</v>
      </c>
      <c r="W40" s="83"/>
      <c r="Y40" s="41" t="s">
        <v>17</v>
      </c>
      <c r="Z40" s="43">
        <v>1</v>
      </c>
      <c r="AC40" t="s">
        <v>546</v>
      </c>
      <c r="AD40">
        <v>1.802</v>
      </c>
    </row>
    <row r="41" spans="1:45" x14ac:dyDescent="0.35">
      <c r="A41" s="1002"/>
      <c r="C41" t="s">
        <v>302</v>
      </c>
      <c r="E41" s="122" t="s">
        <v>190</v>
      </c>
      <c r="K41" t="s">
        <v>548</v>
      </c>
      <c r="N41" s="122">
        <v>0.68</v>
      </c>
      <c r="O41" t="s">
        <v>676</v>
      </c>
      <c r="W41" s="83"/>
      <c r="Y41" s="41" t="s">
        <v>18</v>
      </c>
      <c r="Z41" s="43">
        <v>1.75</v>
      </c>
      <c r="AC41" t="s">
        <v>330</v>
      </c>
      <c r="AD41">
        <v>1</v>
      </c>
    </row>
    <row r="42" spans="1:45" x14ac:dyDescent="0.35">
      <c r="A42" s="1002"/>
      <c r="C42" t="s">
        <v>547</v>
      </c>
      <c r="E42" s="122">
        <v>1</v>
      </c>
      <c r="K42" t="s">
        <v>550</v>
      </c>
      <c r="N42" s="122">
        <v>0.42499999999999999</v>
      </c>
      <c r="O42" t="s">
        <v>677</v>
      </c>
      <c r="W42" s="83"/>
      <c r="Y42" s="41" t="s">
        <v>19</v>
      </c>
      <c r="Z42" s="43">
        <v>2.5</v>
      </c>
      <c r="AC42" t="s">
        <v>551</v>
      </c>
      <c r="AD42">
        <v>0.64090000000000003</v>
      </c>
    </row>
    <row r="43" spans="1:45" x14ac:dyDescent="0.35">
      <c r="A43" s="1002"/>
      <c r="C43" t="s">
        <v>549</v>
      </c>
      <c r="E43" s="122">
        <v>0.9</v>
      </c>
      <c r="K43" t="s">
        <v>553</v>
      </c>
      <c r="N43" s="122">
        <v>1.2</v>
      </c>
      <c r="O43" t="s">
        <v>678</v>
      </c>
      <c r="W43" s="83"/>
      <c r="Y43" s="41" t="s">
        <v>20</v>
      </c>
      <c r="Z43" s="43">
        <v>1.1499999999999999</v>
      </c>
      <c r="AC43" t="s">
        <v>554</v>
      </c>
      <c r="AD43">
        <v>0.45050000000000001</v>
      </c>
    </row>
    <row r="44" spans="1:45" x14ac:dyDescent="0.35">
      <c r="A44" s="1002"/>
      <c r="C44" t="s">
        <v>552</v>
      </c>
      <c r="E44" s="122">
        <v>0.75</v>
      </c>
      <c r="K44" t="s">
        <v>555</v>
      </c>
      <c r="N44" s="122">
        <v>0.96</v>
      </c>
      <c r="O44" t="s">
        <v>679</v>
      </c>
      <c r="W44" s="83"/>
      <c r="Y44" s="41" t="s">
        <v>21</v>
      </c>
      <c r="Z44" s="43">
        <v>2</v>
      </c>
    </row>
    <row r="45" spans="1:45" x14ac:dyDescent="0.35">
      <c r="A45" s="1002"/>
      <c r="C45" t="s">
        <v>365</v>
      </c>
      <c r="E45" s="122">
        <v>0.5</v>
      </c>
      <c r="K45" t="s">
        <v>557</v>
      </c>
      <c r="N45" s="122">
        <v>0.6</v>
      </c>
      <c r="O45" t="s">
        <v>680</v>
      </c>
      <c r="W45" s="83"/>
      <c r="Y45" s="41" t="s">
        <v>22</v>
      </c>
      <c r="Z45" s="43">
        <v>2.85</v>
      </c>
    </row>
    <row r="46" spans="1:45" x14ac:dyDescent="0.35">
      <c r="A46" s="1002"/>
      <c r="C46" t="s">
        <v>556</v>
      </c>
      <c r="E46" s="122">
        <v>0.3</v>
      </c>
      <c r="W46" s="83"/>
      <c r="Y46" s="41" t="s">
        <v>23</v>
      </c>
      <c r="Z46" s="43">
        <v>1.3</v>
      </c>
      <c r="AC46" s="289"/>
    </row>
    <row r="47" spans="1:45" x14ac:dyDescent="0.35">
      <c r="A47" s="1002"/>
      <c r="W47" s="83"/>
      <c r="Y47" s="41" t="s">
        <v>24</v>
      </c>
      <c r="Z47" s="43">
        <v>2.25</v>
      </c>
    </row>
    <row r="48" spans="1:45" x14ac:dyDescent="0.35">
      <c r="A48" s="1002"/>
      <c r="W48" s="83"/>
      <c r="X48" s="30"/>
      <c r="Y48" s="41" t="s">
        <v>25</v>
      </c>
      <c r="Z48" s="43">
        <v>3.1</v>
      </c>
    </row>
    <row r="49" spans="1:23" s="5" customFormat="1" ht="15" thickBot="1" x14ac:dyDescent="0.4">
      <c r="A49" s="1003"/>
      <c r="W49" s="85"/>
    </row>
    <row r="50" spans="1:23" s="6" customFormat="1" ht="15" thickTop="1" x14ac:dyDescent="0.35">
      <c r="A50" s="1004" t="s">
        <v>663</v>
      </c>
    </row>
    <row r="51" spans="1:23" x14ac:dyDescent="0.35">
      <c r="A51" s="1002"/>
    </row>
    <row r="52" spans="1:23" x14ac:dyDescent="0.35">
      <c r="A52" s="1002"/>
      <c r="C52" t="s">
        <v>558</v>
      </c>
      <c r="E52">
        <v>1</v>
      </c>
      <c r="G52" s="39" t="s">
        <v>28</v>
      </c>
      <c r="H52" s="40" t="s">
        <v>140</v>
      </c>
    </row>
    <row r="53" spans="1:23" x14ac:dyDescent="0.35">
      <c r="A53" s="1002"/>
      <c r="C53" t="s">
        <v>347</v>
      </c>
      <c r="E53">
        <v>0.41699999999999998</v>
      </c>
      <c r="G53" s="41" t="s">
        <v>17</v>
      </c>
      <c r="H53" s="43">
        <v>1</v>
      </c>
    </row>
    <row r="54" spans="1:23" x14ac:dyDescent="0.35">
      <c r="A54" s="1002"/>
      <c r="C54" t="s">
        <v>559</v>
      </c>
      <c r="E54">
        <v>0.29699999999999999</v>
      </c>
      <c r="G54" s="41" t="s">
        <v>18</v>
      </c>
      <c r="H54" s="43">
        <v>1.75</v>
      </c>
    </row>
    <row r="55" spans="1:23" x14ac:dyDescent="0.35">
      <c r="A55" s="1002"/>
      <c r="G55" s="41" t="s">
        <v>19</v>
      </c>
      <c r="H55" s="43">
        <v>2.5</v>
      </c>
    </row>
    <row r="56" spans="1:23" x14ac:dyDescent="0.35">
      <c r="A56" s="1002"/>
      <c r="G56" s="41" t="s">
        <v>20</v>
      </c>
      <c r="H56" s="43">
        <v>1.1499999999999999</v>
      </c>
    </row>
    <row r="57" spans="1:23" x14ac:dyDescent="0.35">
      <c r="A57" s="1002"/>
      <c r="G57" s="41" t="s">
        <v>21</v>
      </c>
      <c r="H57" s="43">
        <v>2</v>
      </c>
    </row>
    <row r="58" spans="1:23" x14ac:dyDescent="0.35">
      <c r="A58" s="1002"/>
      <c r="G58" s="41" t="s">
        <v>22</v>
      </c>
      <c r="H58" s="43">
        <v>2.85</v>
      </c>
    </row>
    <row r="59" spans="1:23" x14ac:dyDescent="0.35">
      <c r="A59" s="1002"/>
      <c r="G59" s="41" t="s">
        <v>23</v>
      </c>
      <c r="H59" s="43">
        <v>1.3</v>
      </c>
    </row>
    <row r="60" spans="1:23" x14ac:dyDescent="0.35">
      <c r="A60" s="1002"/>
      <c r="G60" s="41" t="s">
        <v>24</v>
      </c>
      <c r="H60" s="43">
        <v>2.25</v>
      </c>
    </row>
    <row r="61" spans="1:23" x14ac:dyDescent="0.35">
      <c r="A61" s="1002"/>
      <c r="G61" s="41" t="s">
        <v>25</v>
      </c>
      <c r="H61" s="43">
        <v>3.1</v>
      </c>
    </row>
    <row r="62" spans="1:23" x14ac:dyDescent="0.35">
      <c r="A62" s="1002"/>
    </row>
    <row r="63" spans="1:23" x14ac:dyDescent="0.35">
      <c r="A63" s="1002"/>
    </row>
    <row r="64" spans="1:23" s="5" customFormat="1" ht="15" thickBot="1" x14ac:dyDescent="0.4">
      <c r="A64" s="1003"/>
    </row>
    <row r="65" spans="1:51" s="6" customFormat="1" ht="15" thickTop="1" x14ac:dyDescent="0.35">
      <c r="A65" s="1004" t="s">
        <v>664</v>
      </c>
      <c r="B65" s="1025" t="s">
        <v>641</v>
      </c>
      <c r="C65" s="80"/>
      <c r="R65" s="82"/>
      <c r="AG65" s="82"/>
      <c r="AP65" s="1021" t="s">
        <v>1071</v>
      </c>
      <c r="AV65" s="1018" t="s">
        <v>647</v>
      </c>
    </row>
    <row r="66" spans="1:51" x14ac:dyDescent="0.35">
      <c r="A66" s="1002"/>
      <c r="B66" s="1026"/>
      <c r="C66" s="86" t="s">
        <v>121</v>
      </c>
      <c r="R66" s="87" t="s">
        <v>122</v>
      </c>
      <c r="AG66" s="83"/>
      <c r="AH66" t="s">
        <v>123</v>
      </c>
      <c r="AN66" t="s">
        <v>159</v>
      </c>
      <c r="AP66" s="1019"/>
      <c r="AQ66" t="s">
        <v>160</v>
      </c>
      <c r="AT66" t="s">
        <v>161</v>
      </c>
      <c r="AV66" s="1019"/>
      <c r="AW66" t="s">
        <v>166</v>
      </c>
      <c r="AY66" t="s">
        <v>746</v>
      </c>
    </row>
    <row r="67" spans="1:51" x14ac:dyDescent="0.35">
      <c r="A67" s="1002"/>
      <c r="B67" s="1026"/>
      <c r="C67" s="77"/>
      <c r="D67" s="78"/>
      <c r="E67" s="78"/>
      <c r="F67" s="78"/>
      <c r="G67" s="78"/>
      <c r="H67" s="78"/>
      <c r="I67" s="78"/>
      <c r="J67" s="78"/>
      <c r="K67" s="78"/>
      <c r="L67" s="78"/>
      <c r="M67" s="78"/>
      <c r="N67" s="78"/>
      <c r="O67" s="78"/>
      <c r="P67" s="78"/>
      <c r="Q67" s="78"/>
      <c r="R67" s="83"/>
      <c r="AG67" s="83"/>
      <c r="AI67" t="s">
        <v>124</v>
      </c>
      <c r="AK67" t="s">
        <v>125</v>
      </c>
      <c r="AN67" s="89" t="s">
        <v>1137</v>
      </c>
      <c r="AO67">
        <v>1</v>
      </c>
      <c r="AP67" s="1019"/>
      <c r="AQ67" t="s">
        <v>17</v>
      </c>
      <c r="AR67">
        <v>1</v>
      </c>
      <c r="AT67" t="s">
        <v>162</v>
      </c>
      <c r="AU67">
        <v>0.8</v>
      </c>
      <c r="AV67" s="1019"/>
      <c r="AW67" t="s">
        <v>167</v>
      </c>
      <c r="AX67" s="141">
        <v>0.4</v>
      </c>
      <c r="AY67" s="249" t="s">
        <v>744</v>
      </c>
    </row>
    <row r="68" spans="1:51" x14ac:dyDescent="0.35">
      <c r="A68" s="1002"/>
      <c r="B68" s="1026"/>
      <c r="C68" s="1022" t="s">
        <v>681</v>
      </c>
      <c r="D68" s="1023"/>
      <c r="E68" s="1023"/>
      <c r="F68" s="1023"/>
      <c r="G68" s="1024"/>
      <c r="H68" s="1022" t="s">
        <v>682</v>
      </c>
      <c r="I68" s="1023"/>
      <c r="J68" s="1023"/>
      <c r="K68" s="1023"/>
      <c r="L68" s="1024"/>
      <c r="M68" s="1022" t="s">
        <v>683</v>
      </c>
      <c r="N68" s="1023"/>
      <c r="O68" s="1023"/>
      <c r="P68" s="1023"/>
      <c r="Q68" s="712" t="s">
        <v>114</v>
      </c>
      <c r="R68" s="1022" t="s">
        <v>681</v>
      </c>
      <c r="S68" s="1023"/>
      <c r="T68" s="1023"/>
      <c r="U68" s="1023"/>
      <c r="V68" s="1024"/>
      <c r="W68" s="1022" t="s">
        <v>682</v>
      </c>
      <c r="X68" s="1023"/>
      <c r="Y68" s="1023"/>
      <c r="Z68" s="1023"/>
      <c r="AA68" s="1024"/>
      <c r="AB68" s="1022" t="s">
        <v>684</v>
      </c>
      <c r="AC68" s="1023"/>
      <c r="AD68" s="1023"/>
      <c r="AE68" s="1023"/>
      <c r="AF68" s="88">
        <v>15</v>
      </c>
      <c r="AG68" s="83"/>
      <c r="AH68" s="89" t="s">
        <v>7</v>
      </c>
      <c r="AI68" s="945" t="s">
        <v>131</v>
      </c>
      <c r="AJ68" s="945"/>
      <c r="AK68" s="945" t="s">
        <v>132</v>
      </c>
      <c r="AL68" s="945"/>
      <c r="AN68" s="89" t="s">
        <v>135</v>
      </c>
      <c r="AO68">
        <v>1.02</v>
      </c>
      <c r="AP68" s="1019"/>
      <c r="AQ68" t="s">
        <v>20</v>
      </c>
      <c r="AR68">
        <v>1.6</v>
      </c>
      <c r="AT68" t="s">
        <v>163</v>
      </c>
      <c r="AU68">
        <v>1</v>
      </c>
      <c r="AV68" s="1019"/>
      <c r="AW68" t="s">
        <v>168</v>
      </c>
      <c r="AX68" s="141">
        <v>0.3</v>
      </c>
      <c r="AY68" s="249" t="s">
        <v>745</v>
      </c>
    </row>
    <row r="69" spans="1:51" x14ac:dyDescent="0.35">
      <c r="A69" s="1002"/>
      <c r="B69" s="1026"/>
      <c r="C69" s="73" t="s">
        <v>115</v>
      </c>
      <c r="D69" s="55" t="s">
        <v>116</v>
      </c>
      <c r="E69" s="55" t="s">
        <v>117</v>
      </c>
      <c r="F69" s="55" t="s">
        <v>118</v>
      </c>
      <c r="G69" s="74" t="s">
        <v>119</v>
      </c>
      <c r="H69" s="73" t="s">
        <v>115</v>
      </c>
      <c r="I69" s="55" t="s">
        <v>116</v>
      </c>
      <c r="J69" s="55" t="s">
        <v>117</v>
      </c>
      <c r="K69" s="55" t="s">
        <v>118</v>
      </c>
      <c r="L69" s="74" t="s">
        <v>119</v>
      </c>
      <c r="M69" s="73" t="s">
        <v>115</v>
      </c>
      <c r="N69" s="55" t="s">
        <v>116</v>
      </c>
      <c r="O69" s="55" t="s">
        <v>117</v>
      </c>
      <c r="P69" s="55" t="s">
        <v>118</v>
      </c>
      <c r="Q69" s="55" t="s">
        <v>119</v>
      </c>
      <c r="R69" s="83" t="s">
        <v>115</v>
      </c>
      <c r="S69" t="s">
        <v>116</v>
      </c>
      <c r="T69" t="s">
        <v>117</v>
      </c>
      <c r="U69" t="s">
        <v>118</v>
      </c>
      <c r="V69" s="76" t="s">
        <v>119</v>
      </c>
      <c r="W69" s="75" t="s">
        <v>115</v>
      </c>
      <c r="X69" t="s">
        <v>116</v>
      </c>
      <c r="Y69" t="s">
        <v>117</v>
      </c>
      <c r="Z69" t="s">
        <v>118</v>
      </c>
      <c r="AA69" s="76" t="s">
        <v>119</v>
      </c>
      <c r="AB69" s="75" t="s">
        <v>115</v>
      </c>
      <c r="AC69" t="s">
        <v>116</v>
      </c>
      <c r="AD69" t="s">
        <v>117</v>
      </c>
      <c r="AE69" t="s">
        <v>118</v>
      </c>
      <c r="AF69" t="s">
        <v>119</v>
      </c>
      <c r="AG69" s="83"/>
      <c r="AH69" s="89" t="s">
        <v>8</v>
      </c>
      <c r="AI69" s="945" t="s">
        <v>134</v>
      </c>
      <c r="AJ69" s="945"/>
      <c r="AK69" s="945" t="s">
        <v>143</v>
      </c>
      <c r="AL69" s="945"/>
      <c r="AN69" s="89" t="s">
        <v>136</v>
      </c>
      <c r="AO69">
        <v>1.05</v>
      </c>
      <c r="AP69" s="1019"/>
      <c r="AQ69" t="s">
        <v>23</v>
      </c>
      <c r="AR69">
        <v>2.2000000000000002</v>
      </c>
      <c r="AT69" t="s">
        <v>164</v>
      </c>
      <c r="AU69">
        <v>1.3</v>
      </c>
      <c r="AV69" s="1019"/>
    </row>
    <row r="70" spans="1:51" x14ac:dyDescent="0.35">
      <c r="A70" s="1002"/>
      <c r="B70" s="1026"/>
      <c r="C70" s="75" t="s">
        <v>17</v>
      </c>
      <c r="D70" s="158">
        <v>-10.74</v>
      </c>
      <c r="E70" s="158">
        <v>-1.4350000000000001</v>
      </c>
      <c r="F70" s="158">
        <v>-5.0999999999999997E-2</v>
      </c>
      <c r="G70" s="159">
        <v>0</v>
      </c>
      <c r="H70" s="75" t="s">
        <v>17</v>
      </c>
      <c r="I70" s="158">
        <v>-18.739999999999998</v>
      </c>
      <c r="J70" s="158">
        <v>-2.41</v>
      </c>
      <c r="K70" s="158">
        <v>-0.115</v>
      </c>
      <c r="L70" s="159">
        <v>0</v>
      </c>
      <c r="M70" s="75" t="s">
        <v>17</v>
      </c>
      <c r="N70" s="158">
        <f>I70+I70/100*$Q$68</f>
        <v>-21.550999999999998</v>
      </c>
      <c r="O70" s="158">
        <f t="shared" ref="O70:Q78" si="0">J70+J70/100*$Q$68</f>
        <v>-2.7715000000000001</v>
      </c>
      <c r="P70" s="158">
        <f t="shared" si="0"/>
        <v>-0.13225000000000001</v>
      </c>
      <c r="Q70" s="158">
        <f>L70+L70/100*$Q$68</f>
        <v>0</v>
      </c>
      <c r="R70" s="83" t="s">
        <v>17</v>
      </c>
      <c r="S70" s="158">
        <v>23.7</v>
      </c>
      <c r="T70" s="158">
        <v>14.395</v>
      </c>
      <c r="U70" s="158">
        <v>7.4729999999999999</v>
      </c>
      <c r="V70" s="159">
        <v>6.46</v>
      </c>
      <c r="W70" s="75" t="s">
        <v>17</v>
      </c>
      <c r="X70" s="158">
        <v>41.32</v>
      </c>
      <c r="Y70" s="158">
        <v>24.99</v>
      </c>
      <c r="Z70" s="158">
        <v>13.513</v>
      </c>
      <c r="AA70" s="159">
        <v>11.22</v>
      </c>
      <c r="AB70" s="75" t="s">
        <v>17</v>
      </c>
      <c r="AC70" s="158">
        <f>X70+X70/100*$AF$68</f>
        <v>47.518000000000001</v>
      </c>
      <c r="AD70" s="158">
        <f t="shared" ref="AD70:AF78" si="1">Y70+Y70/100*$AF$68</f>
        <v>28.738499999999998</v>
      </c>
      <c r="AE70" s="158">
        <f t="shared" si="1"/>
        <v>15.539949999999999</v>
      </c>
      <c r="AF70" s="158">
        <f t="shared" si="1"/>
        <v>12.903</v>
      </c>
      <c r="AG70" s="83"/>
      <c r="AH70" s="89" t="s">
        <v>126</v>
      </c>
      <c r="AI70" s="945" t="s">
        <v>134</v>
      </c>
      <c r="AJ70" s="945"/>
      <c r="AK70" s="945" t="s">
        <v>143</v>
      </c>
      <c r="AL70" s="945"/>
      <c r="AN70" s="89" t="s">
        <v>137</v>
      </c>
      <c r="AO70">
        <v>1.1000000000000001</v>
      </c>
      <c r="AP70" s="1019"/>
      <c r="AQ70" t="s">
        <v>18</v>
      </c>
      <c r="AR70">
        <v>1.3</v>
      </c>
      <c r="AV70" s="1019"/>
    </row>
    <row r="71" spans="1:51" x14ac:dyDescent="0.35">
      <c r="A71" s="1002"/>
      <c r="B71" s="1026"/>
      <c r="C71" s="75" t="s">
        <v>20</v>
      </c>
      <c r="D71" s="158">
        <v>-12.26</v>
      </c>
      <c r="E71" s="158">
        <v>-0.87</v>
      </c>
      <c r="F71" s="158">
        <v>-8.3000000000000004E-2</v>
      </c>
      <c r="G71" s="159">
        <v>0</v>
      </c>
      <c r="H71" s="75" t="s">
        <v>20</v>
      </c>
      <c r="I71" s="158">
        <v>-21.5</v>
      </c>
      <c r="J71" s="158">
        <v>-1.163</v>
      </c>
      <c r="K71" s="158">
        <v>-0.13700000000000001</v>
      </c>
      <c r="L71" s="159">
        <v>0</v>
      </c>
      <c r="M71" s="75" t="s">
        <v>20</v>
      </c>
      <c r="N71" s="158">
        <f t="shared" ref="N71:N78" si="2">I71+I71/100*$Q$68</f>
        <v>-24.725000000000001</v>
      </c>
      <c r="O71" s="158">
        <f t="shared" si="0"/>
        <v>-1.33745</v>
      </c>
      <c r="P71" s="158">
        <f t="shared" si="0"/>
        <v>-0.15755000000000002</v>
      </c>
      <c r="Q71" s="158">
        <f t="shared" si="0"/>
        <v>0</v>
      </c>
      <c r="R71" s="83" t="s">
        <v>20</v>
      </c>
      <c r="S71" s="158">
        <v>27.06</v>
      </c>
      <c r="T71" s="158">
        <v>15.67</v>
      </c>
      <c r="U71" s="158">
        <v>11.737</v>
      </c>
      <c r="V71" s="159">
        <v>10.07</v>
      </c>
      <c r="W71" s="75" t="s">
        <v>20</v>
      </c>
      <c r="X71" s="158">
        <v>47.46</v>
      </c>
      <c r="Y71" s="158">
        <v>27.123000000000001</v>
      </c>
      <c r="Z71" s="158">
        <v>21.997</v>
      </c>
      <c r="AA71" s="159">
        <v>19.25</v>
      </c>
      <c r="AB71" s="75" t="s">
        <v>20</v>
      </c>
      <c r="AC71" s="158">
        <f t="shared" ref="AC71:AC78" si="3">X71+X71/100*$AF$68</f>
        <v>54.579000000000001</v>
      </c>
      <c r="AD71" s="158">
        <f t="shared" si="1"/>
        <v>31.191450000000003</v>
      </c>
      <c r="AE71" s="158">
        <f t="shared" si="1"/>
        <v>25.29655</v>
      </c>
      <c r="AF71" s="158">
        <f t="shared" si="1"/>
        <v>22.137499999999999</v>
      </c>
      <c r="AG71" s="83"/>
      <c r="AH71" s="89" t="s">
        <v>9</v>
      </c>
      <c r="AI71" s="945" t="s">
        <v>133</v>
      </c>
      <c r="AJ71" s="945"/>
      <c r="AK71" s="945" t="s">
        <v>142</v>
      </c>
      <c r="AL71" s="945"/>
      <c r="AP71" s="1019"/>
      <c r="AQ71" t="s">
        <v>21</v>
      </c>
      <c r="AR71">
        <v>2.1</v>
      </c>
      <c r="AV71" s="1019"/>
      <c r="AX71" s="517"/>
    </row>
    <row r="72" spans="1:51" x14ac:dyDescent="0.35">
      <c r="A72" s="1002"/>
      <c r="B72" s="1026"/>
      <c r="C72" s="75" t="s">
        <v>23</v>
      </c>
      <c r="D72" s="158">
        <v>-16.7</v>
      </c>
      <c r="E72" s="158">
        <v>-0.58799999999999997</v>
      </c>
      <c r="F72" s="158">
        <v>-8.6999999999999994E-2</v>
      </c>
      <c r="G72" s="159">
        <v>0</v>
      </c>
      <c r="H72" s="75" t="s">
        <v>23</v>
      </c>
      <c r="I72" s="158">
        <v>-32.64</v>
      </c>
      <c r="J72" s="158">
        <v>-1.298</v>
      </c>
      <c r="K72" s="158">
        <v>-0.157</v>
      </c>
      <c r="L72" s="159">
        <v>0</v>
      </c>
      <c r="M72" s="75" t="s">
        <v>23</v>
      </c>
      <c r="N72" s="158">
        <f t="shared" si="2"/>
        <v>-37.536000000000001</v>
      </c>
      <c r="O72" s="158">
        <f t="shared" si="0"/>
        <v>-1.4927000000000001</v>
      </c>
      <c r="P72" s="158">
        <f t="shared" si="0"/>
        <v>-0.18054999999999999</v>
      </c>
      <c r="Q72" s="158">
        <f t="shared" si="0"/>
        <v>0</v>
      </c>
      <c r="R72" s="83" t="s">
        <v>23</v>
      </c>
      <c r="S72" s="158">
        <v>36.869999999999997</v>
      </c>
      <c r="T72" s="158">
        <v>20.757999999999999</v>
      </c>
      <c r="U72" s="158">
        <v>18.253</v>
      </c>
      <c r="V72" s="159">
        <v>16.52</v>
      </c>
      <c r="W72" s="75" t="s">
        <v>23</v>
      </c>
      <c r="X72" s="158">
        <v>72.06</v>
      </c>
      <c r="Y72" s="158">
        <v>40.718000000000004</v>
      </c>
      <c r="Z72" s="158">
        <v>35.012999999999998</v>
      </c>
      <c r="AA72" s="159">
        <v>31.88</v>
      </c>
      <c r="AB72" s="75" t="s">
        <v>23</v>
      </c>
      <c r="AC72" s="158">
        <f t="shared" si="3"/>
        <v>82.869</v>
      </c>
      <c r="AD72" s="158">
        <f t="shared" si="1"/>
        <v>46.825700000000005</v>
      </c>
      <c r="AE72" s="158">
        <f t="shared" si="1"/>
        <v>40.264949999999999</v>
      </c>
      <c r="AF72" s="158">
        <f t="shared" si="1"/>
        <v>36.661999999999999</v>
      </c>
      <c r="AG72" s="83"/>
      <c r="AH72" s="89" t="s">
        <v>10</v>
      </c>
      <c r="AI72" s="945" t="s">
        <v>133</v>
      </c>
      <c r="AJ72" s="945"/>
      <c r="AK72" s="945" t="s">
        <v>142</v>
      </c>
      <c r="AL72" s="945"/>
      <c r="AP72" s="1019"/>
      <c r="AQ72" t="s">
        <v>24</v>
      </c>
      <c r="AR72">
        <v>2.9</v>
      </c>
      <c r="AV72" s="1019"/>
      <c r="AX72" s="517"/>
    </row>
    <row r="73" spans="1:51" x14ac:dyDescent="0.35">
      <c r="A73" s="1002"/>
      <c r="B73" s="1026"/>
      <c r="C73" s="75" t="s">
        <v>18</v>
      </c>
      <c r="D73" s="158">
        <v>-13</v>
      </c>
      <c r="E73" s="158">
        <v>-0.92</v>
      </c>
      <c r="F73" s="158">
        <v>-7.8E-2</v>
      </c>
      <c r="G73" s="159">
        <v>0</v>
      </c>
      <c r="H73" s="75" t="s">
        <v>18</v>
      </c>
      <c r="I73" s="158">
        <v>-22.72</v>
      </c>
      <c r="J73" s="158">
        <v>-1.37</v>
      </c>
      <c r="K73" s="158">
        <v>-0.185</v>
      </c>
      <c r="L73" s="159">
        <v>0</v>
      </c>
      <c r="M73" s="75" t="s">
        <v>18</v>
      </c>
      <c r="N73" s="158">
        <f t="shared" si="2"/>
        <v>-26.128</v>
      </c>
      <c r="O73" s="158">
        <f t="shared" si="0"/>
        <v>-1.5755000000000001</v>
      </c>
      <c r="P73" s="158">
        <f t="shared" si="0"/>
        <v>-0.21274999999999999</v>
      </c>
      <c r="Q73" s="158">
        <f t="shared" si="0"/>
        <v>0</v>
      </c>
      <c r="R73" s="83" t="s">
        <v>18</v>
      </c>
      <c r="S73" s="158">
        <v>28.68</v>
      </c>
      <c r="T73" s="158">
        <v>16.600000000000001</v>
      </c>
      <c r="U73" s="158">
        <v>12.39</v>
      </c>
      <c r="V73" s="159">
        <v>10.83</v>
      </c>
      <c r="W73" s="75" t="s">
        <v>18</v>
      </c>
      <c r="X73" s="158">
        <v>50.15</v>
      </c>
      <c r="Y73" s="158">
        <v>28.8</v>
      </c>
      <c r="Z73" s="158">
        <v>22.873000000000001</v>
      </c>
      <c r="AA73" s="159">
        <v>19.18</v>
      </c>
      <c r="AB73" s="75" t="s">
        <v>18</v>
      </c>
      <c r="AC73" s="158">
        <f t="shared" si="3"/>
        <v>57.672499999999999</v>
      </c>
      <c r="AD73" s="158">
        <f t="shared" si="1"/>
        <v>33.120000000000005</v>
      </c>
      <c r="AE73" s="158">
        <f t="shared" si="1"/>
        <v>26.30395</v>
      </c>
      <c r="AF73" s="158">
        <f t="shared" si="1"/>
        <v>22.056999999999999</v>
      </c>
      <c r="AG73" s="83"/>
      <c r="AP73" s="1019"/>
      <c r="AQ73" t="s">
        <v>19</v>
      </c>
      <c r="AR73">
        <v>1.6</v>
      </c>
      <c r="AV73" s="1019"/>
    </row>
    <row r="74" spans="1:51" x14ac:dyDescent="0.35">
      <c r="A74" s="1002"/>
      <c r="B74" s="1026"/>
      <c r="C74" s="75" t="s">
        <v>21</v>
      </c>
      <c r="D74" s="158">
        <v>-16.04</v>
      </c>
      <c r="E74" s="158">
        <v>-0.64800000000000002</v>
      </c>
      <c r="F74" s="158">
        <v>-8.8999999999999996E-2</v>
      </c>
      <c r="G74" s="159">
        <v>0</v>
      </c>
      <c r="H74" s="75" t="s">
        <v>21</v>
      </c>
      <c r="I74" s="158">
        <v>-29.440999999999999</v>
      </c>
      <c r="J74" s="158">
        <v>-0.86499999999999999</v>
      </c>
      <c r="K74" s="158">
        <v>-0.14099999999999999</v>
      </c>
      <c r="L74" s="159">
        <v>0</v>
      </c>
      <c r="M74" s="75" t="s">
        <v>21</v>
      </c>
      <c r="N74" s="158">
        <f t="shared" si="2"/>
        <v>-33.857149999999997</v>
      </c>
      <c r="O74" s="158">
        <f t="shared" si="0"/>
        <v>-0.99475000000000002</v>
      </c>
      <c r="P74" s="158">
        <f t="shared" si="0"/>
        <v>-0.16214999999999999</v>
      </c>
      <c r="Q74" s="158">
        <f t="shared" si="0"/>
        <v>0</v>
      </c>
      <c r="R74" s="83" t="s">
        <v>21</v>
      </c>
      <c r="S74" s="158">
        <v>35.4</v>
      </c>
      <c r="T74" s="158">
        <v>20.007999999999999</v>
      </c>
      <c r="U74" s="158">
        <v>17.213000000000001</v>
      </c>
      <c r="V74" s="159">
        <v>15.44</v>
      </c>
      <c r="W74" s="75" t="s">
        <v>21</v>
      </c>
      <c r="X74" s="158">
        <v>64.980999999999995</v>
      </c>
      <c r="Y74" s="158">
        <v>36.404000000000003</v>
      </c>
      <c r="Z74" s="158">
        <v>32.783000000000001</v>
      </c>
      <c r="AA74" s="159">
        <v>29.97</v>
      </c>
      <c r="AB74" s="75" t="s">
        <v>21</v>
      </c>
      <c r="AC74" s="158">
        <f t="shared" si="3"/>
        <v>74.728149999999999</v>
      </c>
      <c r="AD74" s="158">
        <f t="shared" si="1"/>
        <v>41.864600000000003</v>
      </c>
      <c r="AE74" s="158">
        <f t="shared" si="1"/>
        <v>37.700450000000004</v>
      </c>
      <c r="AF74" s="158">
        <f t="shared" si="1"/>
        <v>34.465499999999999</v>
      </c>
      <c r="AG74" s="83"/>
      <c r="AH74" s="89" t="s">
        <v>742</v>
      </c>
      <c r="AL74" t="s">
        <v>743</v>
      </c>
      <c r="AP74" s="1019"/>
      <c r="AQ74" t="s">
        <v>22</v>
      </c>
      <c r="AR74">
        <v>2.6</v>
      </c>
      <c r="AV74" s="1019"/>
    </row>
    <row r="75" spans="1:51" x14ac:dyDescent="0.35">
      <c r="A75" s="1002"/>
      <c r="B75" s="1026"/>
      <c r="C75" s="75" t="s">
        <v>24</v>
      </c>
      <c r="D75" s="158">
        <v>-21.24</v>
      </c>
      <c r="E75" s="158">
        <v>-0.39500000000000002</v>
      </c>
      <c r="F75" s="158">
        <v>-0.126</v>
      </c>
      <c r="G75" s="159">
        <v>0</v>
      </c>
      <c r="H75" s="75" t="s">
        <v>24</v>
      </c>
      <c r="I75" s="158">
        <v>-39.1</v>
      </c>
      <c r="J75" s="158">
        <v>-0.42299999999999999</v>
      </c>
      <c r="K75" s="158">
        <v>-0.222</v>
      </c>
      <c r="L75" s="159">
        <v>0</v>
      </c>
      <c r="M75" s="75" t="s">
        <v>24</v>
      </c>
      <c r="N75" s="158">
        <f t="shared" si="2"/>
        <v>-44.965000000000003</v>
      </c>
      <c r="O75" s="158">
        <f t="shared" si="0"/>
        <v>-0.48644999999999999</v>
      </c>
      <c r="P75" s="158">
        <f t="shared" si="0"/>
        <v>-0.25530000000000003</v>
      </c>
      <c r="Q75" s="158">
        <f t="shared" si="0"/>
        <v>0</v>
      </c>
      <c r="R75" s="83" t="s">
        <v>24</v>
      </c>
      <c r="S75" s="158">
        <v>46.9</v>
      </c>
      <c r="T75" s="158">
        <v>26.055</v>
      </c>
      <c r="U75" s="158">
        <v>24.71</v>
      </c>
      <c r="V75" s="159">
        <v>22.19</v>
      </c>
      <c r="W75" s="75" t="s">
        <v>24</v>
      </c>
      <c r="X75" s="158">
        <v>86.34</v>
      </c>
      <c r="Y75" s="158">
        <v>47.662999999999997</v>
      </c>
      <c r="Z75" s="158">
        <v>46.66</v>
      </c>
      <c r="AA75" s="159">
        <v>42.22</v>
      </c>
      <c r="AB75" s="75" t="s">
        <v>24</v>
      </c>
      <c r="AC75" s="158">
        <f t="shared" si="3"/>
        <v>99.290999999999997</v>
      </c>
      <c r="AD75" s="158">
        <f t="shared" si="1"/>
        <v>54.812449999999998</v>
      </c>
      <c r="AE75" s="158">
        <f t="shared" si="1"/>
        <v>53.658999999999999</v>
      </c>
      <c r="AF75" s="158">
        <f t="shared" si="1"/>
        <v>48.552999999999997</v>
      </c>
      <c r="AG75" s="83"/>
      <c r="AH75">
        <v>0</v>
      </c>
      <c r="AI75" s="122" t="s">
        <v>127</v>
      </c>
      <c r="AP75" s="1019"/>
      <c r="AQ75" t="s">
        <v>25</v>
      </c>
      <c r="AR75">
        <v>3.5</v>
      </c>
      <c r="AV75" s="1019"/>
    </row>
    <row r="76" spans="1:51" x14ac:dyDescent="0.35">
      <c r="A76" s="1002"/>
      <c r="B76" s="1026"/>
      <c r="C76" s="75" t="s">
        <v>19</v>
      </c>
      <c r="D76" s="158">
        <v>-17.38</v>
      </c>
      <c r="E76" s="158">
        <v>-0.83299999999999996</v>
      </c>
      <c r="F76" s="158">
        <v>-9.0999999999999998E-2</v>
      </c>
      <c r="G76" s="159">
        <v>0</v>
      </c>
      <c r="H76" s="75" t="s">
        <v>19</v>
      </c>
      <c r="I76" s="158">
        <v>-30.117999999999999</v>
      </c>
      <c r="J76" s="158">
        <v>-1.4630000000000001</v>
      </c>
      <c r="K76" s="158">
        <v>-0.14199999999999999</v>
      </c>
      <c r="L76" s="159">
        <v>0</v>
      </c>
      <c r="M76" s="75" t="s">
        <v>19</v>
      </c>
      <c r="N76" s="158">
        <f t="shared" si="2"/>
        <v>-34.6357</v>
      </c>
      <c r="O76" s="158">
        <f t="shared" si="0"/>
        <v>-1.68245</v>
      </c>
      <c r="P76" s="158">
        <f t="shared" si="0"/>
        <v>-0.16329999999999997</v>
      </c>
      <c r="Q76" s="158">
        <f t="shared" si="0"/>
        <v>0</v>
      </c>
      <c r="R76" s="83" t="s">
        <v>19</v>
      </c>
      <c r="S76" s="158">
        <v>38.35</v>
      </c>
      <c r="T76" s="158">
        <v>21.803000000000001</v>
      </c>
      <c r="U76" s="158">
        <v>18.093</v>
      </c>
      <c r="V76" s="159">
        <v>16.28</v>
      </c>
      <c r="W76" s="75" t="s">
        <v>19</v>
      </c>
      <c r="X76" s="158">
        <v>70.409000000000006</v>
      </c>
      <c r="Y76" s="158">
        <v>41.753999999999998</v>
      </c>
      <c r="Z76" s="158">
        <v>35.15</v>
      </c>
      <c r="AA76" s="159">
        <v>32.31</v>
      </c>
      <c r="AB76" s="75" t="s">
        <v>19</v>
      </c>
      <c r="AC76" s="158">
        <f t="shared" si="3"/>
        <v>80.97035000000001</v>
      </c>
      <c r="AD76" s="158">
        <f t="shared" si="1"/>
        <v>48.017099999999999</v>
      </c>
      <c r="AE76" s="158">
        <f t="shared" si="1"/>
        <v>40.422499999999999</v>
      </c>
      <c r="AF76" s="158">
        <f t="shared" si="1"/>
        <v>37.156500000000001</v>
      </c>
      <c r="AG76" s="83"/>
      <c r="AH76">
        <v>1.0000009999999999</v>
      </c>
      <c r="AI76" s="122" t="s">
        <v>128</v>
      </c>
      <c r="AK76" t="s">
        <v>956</v>
      </c>
      <c r="AP76" s="1019"/>
      <c r="AV76" s="1019"/>
    </row>
    <row r="77" spans="1:51" x14ac:dyDescent="0.35">
      <c r="A77" s="1002"/>
      <c r="B77" s="1026"/>
      <c r="C77" s="75" t="s">
        <v>22</v>
      </c>
      <c r="D77" s="158">
        <v>-24.34</v>
      </c>
      <c r="E77" s="158">
        <v>-0.47299999999999998</v>
      </c>
      <c r="F77" s="158">
        <v>-9.5000000000000001E-2</v>
      </c>
      <c r="G77" s="159">
        <v>0</v>
      </c>
      <c r="H77" s="75" t="s">
        <v>22</v>
      </c>
      <c r="I77" s="158">
        <v>-43.16</v>
      </c>
      <c r="J77" s="158">
        <v>-1.26</v>
      </c>
      <c r="K77" s="158">
        <v>-0.14599999999999999</v>
      </c>
      <c r="L77" s="159">
        <v>0</v>
      </c>
      <c r="M77" s="75" t="s">
        <v>22</v>
      </c>
      <c r="N77" s="158">
        <f t="shared" si="2"/>
        <v>-49.634</v>
      </c>
      <c r="O77" s="158">
        <f t="shared" si="0"/>
        <v>-1.4490000000000001</v>
      </c>
      <c r="P77" s="158">
        <f t="shared" si="0"/>
        <v>-0.16789999999999999</v>
      </c>
      <c r="Q77" s="158">
        <f t="shared" si="0"/>
        <v>0</v>
      </c>
      <c r="R77" s="83" t="s">
        <v>22</v>
      </c>
      <c r="S77" s="158">
        <v>53.73</v>
      </c>
      <c r="T77" s="158">
        <v>29.863</v>
      </c>
      <c r="U77" s="158">
        <v>27.977</v>
      </c>
      <c r="V77" s="159">
        <v>26.07</v>
      </c>
      <c r="W77" s="75" t="s">
        <v>22</v>
      </c>
      <c r="X77" s="158">
        <v>102.07</v>
      </c>
      <c r="Y77" s="158">
        <v>60.17</v>
      </c>
      <c r="Z77" s="158">
        <v>54.6</v>
      </c>
      <c r="AA77" s="159">
        <v>51.68</v>
      </c>
      <c r="AB77" s="75" t="s">
        <v>22</v>
      </c>
      <c r="AC77" s="158">
        <f t="shared" si="3"/>
        <v>117.3805</v>
      </c>
      <c r="AD77" s="158">
        <f t="shared" si="1"/>
        <v>69.19550000000001</v>
      </c>
      <c r="AE77" s="158">
        <f t="shared" si="1"/>
        <v>62.790000000000006</v>
      </c>
      <c r="AF77" s="158">
        <f t="shared" si="1"/>
        <v>59.432000000000002</v>
      </c>
      <c r="AG77" s="83"/>
      <c r="AH77">
        <v>5.0000010000000001</v>
      </c>
      <c r="AI77" s="122" t="s">
        <v>129</v>
      </c>
      <c r="AK77">
        <v>0.41</v>
      </c>
      <c r="AL77" t="s">
        <v>957</v>
      </c>
      <c r="AP77" s="1019"/>
      <c r="AV77" s="1019"/>
    </row>
    <row r="78" spans="1:51" x14ac:dyDescent="0.35">
      <c r="A78" s="1002"/>
      <c r="B78" s="1026"/>
      <c r="C78" s="77" t="s">
        <v>25</v>
      </c>
      <c r="D78" s="160">
        <v>-32.42</v>
      </c>
      <c r="E78" s="160">
        <v>-0.503</v>
      </c>
      <c r="F78" s="160">
        <v>-9.7000000000000003E-2</v>
      </c>
      <c r="G78" s="161">
        <v>0</v>
      </c>
      <c r="H78" s="77" t="s">
        <v>25</v>
      </c>
      <c r="I78" s="160">
        <v>-52.19</v>
      </c>
      <c r="J78" s="160">
        <v>-1.244</v>
      </c>
      <c r="K78" s="160">
        <v>-9.9000000000000005E-2</v>
      </c>
      <c r="L78" s="161">
        <v>0</v>
      </c>
      <c r="M78" s="77" t="s">
        <v>25</v>
      </c>
      <c r="N78" s="160">
        <f t="shared" si="2"/>
        <v>-60.018499999999996</v>
      </c>
      <c r="O78" s="160">
        <f t="shared" si="0"/>
        <v>-1.4306000000000001</v>
      </c>
      <c r="P78" s="160">
        <f t="shared" si="0"/>
        <v>-0.11385000000000001</v>
      </c>
      <c r="Q78" s="160">
        <f t="shared" si="0"/>
        <v>0</v>
      </c>
      <c r="R78" s="84" t="s">
        <v>25</v>
      </c>
      <c r="S78" s="160">
        <v>71.55</v>
      </c>
      <c r="T78" s="160">
        <v>39.633000000000003</v>
      </c>
      <c r="U78" s="160">
        <v>37.603000000000002</v>
      </c>
      <c r="V78" s="161">
        <v>35.67</v>
      </c>
      <c r="W78" s="77" t="s">
        <v>25</v>
      </c>
      <c r="X78" s="160">
        <v>125.505</v>
      </c>
      <c r="Y78" s="160">
        <v>74.558999999999997</v>
      </c>
      <c r="Z78" s="160">
        <v>68.837000000000003</v>
      </c>
      <c r="AA78" s="161">
        <v>66.849999999999994</v>
      </c>
      <c r="AB78" s="77" t="s">
        <v>25</v>
      </c>
      <c r="AC78" s="160">
        <f t="shared" si="3"/>
        <v>144.33074999999999</v>
      </c>
      <c r="AD78" s="160">
        <f t="shared" si="1"/>
        <v>85.742850000000004</v>
      </c>
      <c r="AE78" s="160">
        <f t="shared" si="1"/>
        <v>79.16255000000001</v>
      </c>
      <c r="AF78" s="160">
        <f t="shared" si="1"/>
        <v>76.877499999999998</v>
      </c>
      <c r="AG78" s="83"/>
      <c r="AH78">
        <v>20.000001000000001</v>
      </c>
      <c r="AI78" s="122" t="s">
        <v>130</v>
      </c>
      <c r="AP78" s="1019"/>
      <c r="AV78" s="1019"/>
    </row>
    <row r="79" spans="1:51" s="5" customFormat="1" ht="15" thickBot="1" x14ac:dyDescent="0.4">
      <c r="A79" s="1003"/>
      <c r="B79" s="1027"/>
      <c r="C79" s="81"/>
      <c r="R79" s="85"/>
      <c r="AG79" s="85"/>
      <c r="AP79" s="1020"/>
      <c r="AV79" s="1020"/>
    </row>
    <row r="80" spans="1:51" s="6" customFormat="1" ht="15" thickTop="1" x14ac:dyDescent="0.35">
      <c r="A80" s="1004" t="s">
        <v>665</v>
      </c>
      <c r="AP80"/>
    </row>
    <row r="81" spans="1:24" x14ac:dyDescent="0.35">
      <c r="A81" s="1002"/>
      <c r="O81" s="164"/>
      <c r="P81" s="164"/>
    </row>
    <row r="82" spans="1:24" x14ac:dyDescent="0.35">
      <c r="A82" s="1002"/>
      <c r="C82" s="165">
        <v>500</v>
      </c>
      <c r="D82" s="245">
        <v>3</v>
      </c>
      <c r="E82" s="162">
        <v>83</v>
      </c>
      <c r="F82" s="55" t="s">
        <v>172</v>
      </c>
      <c r="G82" s="55"/>
      <c r="H82" s="55">
        <v>500</v>
      </c>
      <c r="I82" s="55">
        <v>1000</v>
      </c>
      <c r="J82" s="55">
        <v>2000</v>
      </c>
      <c r="K82" s="55">
        <v>3000</v>
      </c>
      <c r="L82" s="55">
        <v>4000</v>
      </c>
      <c r="M82" s="55">
        <v>5000</v>
      </c>
      <c r="N82" s="55">
        <v>7500</v>
      </c>
      <c r="O82" s="55">
        <v>10000</v>
      </c>
      <c r="P82" s="55">
        <v>15000</v>
      </c>
      <c r="Q82" s="74">
        <v>20000</v>
      </c>
    </row>
    <row r="83" spans="1:24" x14ac:dyDescent="0.35">
      <c r="A83" s="1002"/>
      <c r="C83" s="166">
        <v>1000</v>
      </c>
      <c r="D83" s="164">
        <v>4</v>
      </c>
      <c r="E83" s="163">
        <v>84</v>
      </c>
      <c r="F83" s="158" t="s">
        <v>173</v>
      </c>
      <c r="G83" t="s">
        <v>179</v>
      </c>
      <c r="H83" s="158">
        <v>9.0999999999999998E-2</v>
      </c>
      <c r="I83" s="158">
        <v>8.1000000000000003E-2</v>
      </c>
      <c r="J83" s="158">
        <v>7.1999999999999995E-2</v>
      </c>
      <c r="K83" s="158">
        <v>6.6000000000000003E-2</v>
      </c>
      <c r="L83" s="158">
        <v>6.4000000000000001E-2</v>
      </c>
      <c r="M83" s="158">
        <v>6.3E-2</v>
      </c>
      <c r="N83" s="158">
        <v>6.0999999999999999E-2</v>
      </c>
      <c r="O83" s="158">
        <v>0.06</v>
      </c>
      <c r="P83" s="158">
        <v>5.6000000000000001E-2</v>
      </c>
      <c r="Q83" s="159">
        <v>0.05</v>
      </c>
    </row>
    <row r="84" spans="1:24" x14ac:dyDescent="0.35">
      <c r="A84" s="1002"/>
      <c r="C84" s="166">
        <v>2000</v>
      </c>
      <c r="D84" s="164">
        <v>5</v>
      </c>
      <c r="E84" s="163">
        <v>85</v>
      </c>
      <c r="F84" s="158" t="s">
        <v>174</v>
      </c>
      <c r="G84" t="s">
        <v>177</v>
      </c>
      <c r="H84" s="158">
        <v>0.13800000000000001</v>
      </c>
      <c r="I84" s="158">
        <v>0.11799999999999999</v>
      </c>
      <c r="J84" s="158">
        <v>0.1</v>
      </c>
      <c r="K84" s="158">
        <v>8.8999999999999996E-2</v>
      </c>
      <c r="L84" s="158">
        <v>8.2000000000000003E-2</v>
      </c>
      <c r="M84" s="158">
        <v>8.1000000000000003E-2</v>
      </c>
      <c r="N84" s="158">
        <v>7.9000000000000001E-2</v>
      </c>
      <c r="O84" s="158">
        <v>7.8E-2</v>
      </c>
      <c r="P84" s="158">
        <v>7.2999999999999995E-2</v>
      </c>
      <c r="Q84" s="159">
        <v>6.7000000000000004E-2</v>
      </c>
    </row>
    <row r="85" spans="1:24" x14ac:dyDescent="0.35">
      <c r="A85" s="1002"/>
      <c r="C85" s="166">
        <v>3000</v>
      </c>
      <c r="D85" s="164">
        <v>6</v>
      </c>
      <c r="E85" s="163">
        <v>86</v>
      </c>
      <c r="F85" s="160" t="s">
        <v>175</v>
      </c>
      <c r="G85" s="78" t="s">
        <v>178</v>
      </c>
      <c r="H85" s="160">
        <v>0.16500000000000001</v>
      </c>
      <c r="I85" s="160">
        <v>0.14199999999999999</v>
      </c>
      <c r="J85" s="160">
        <v>0.11899999999999999</v>
      </c>
      <c r="K85" s="160">
        <v>0.107</v>
      </c>
      <c r="L85" s="160">
        <v>9.8000000000000004E-2</v>
      </c>
      <c r="M85" s="160">
        <v>9.6000000000000002E-2</v>
      </c>
      <c r="N85" s="160">
        <v>9.5000000000000001E-2</v>
      </c>
      <c r="O85" s="160">
        <v>9.2999999999999999E-2</v>
      </c>
      <c r="P85" s="160">
        <v>8.7999999999999995E-2</v>
      </c>
      <c r="Q85" s="161">
        <v>8.1000000000000003E-2</v>
      </c>
    </row>
    <row r="86" spans="1:24" x14ac:dyDescent="0.35">
      <c r="A86" s="1002"/>
      <c r="C86" s="166">
        <v>4000</v>
      </c>
      <c r="D86" s="164">
        <v>7</v>
      </c>
      <c r="E86" s="163">
        <v>87</v>
      </c>
      <c r="K86" s="164"/>
      <c r="O86" s="164"/>
      <c r="P86" s="164"/>
    </row>
    <row r="87" spans="1:24" x14ac:dyDescent="0.35">
      <c r="A87" s="1002"/>
      <c r="C87" s="166">
        <v>5000</v>
      </c>
      <c r="D87" s="164">
        <v>8</v>
      </c>
      <c r="E87" s="163">
        <v>88</v>
      </c>
      <c r="O87" s="164"/>
      <c r="P87" s="164"/>
    </row>
    <row r="88" spans="1:24" x14ac:dyDescent="0.35">
      <c r="A88" s="1002"/>
      <c r="C88" s="166">
        <v>7500</v>
      </c>
      <c r="D88" s="164">
        <v>9</v>
      </c>
      <c r="E88" s="163">
        <v>89</v>
      </c>
      <c r="O88" s="164"/>
      <c r="P88" s="164"/>
    </row>
    <row r="89" spans="1:24" x14ac:dyDescent="0.35">
      <c r="A89" s="1002"/>
      <c r="C89" s="166">
        <v>10000</v>
      </c>
      <c r="D89" s="164">
        <v>10</v>
      </c>
      <c r="E89" s="163">
        <v>90</v>
      </c>
      <c r="O89" s="164"/>
      <c r="P89" s="164"/>
    </row>
    <row r="90" spans="1:24" x14ac:dyDescent="0.35">
      <c r="A90" s="1002"/>
      <c r="C90" s="166">
        <v>15000</v>
      </c>
      <c r="D90" s="164">
        <v>11</v>
      </c>
      <c r="E90" s="163">
        <v>91</v>
      </c>
      <c r="O90" s="164"/>
      <c r="P90" s="164"/>
    </row>
    <row r="91" spans="1:24" x14ac:dyDescent="0.35">
      <c r="A91" s="1002"/>
      <c r="C91" s="167">
        <v>20000</v>
      </c>
      <c r="D91" s="246">
        <v>12</v>
      </c>
      <c r="E91" s="244">
        <v>91</v>
      </c>
      <c r="O91" s="164"/>
      <c r="P91" s="164"/>
    </row>
    <row r="92" spans="1:24" x14ac:dyDescent="0.35">
      <c r="A92" s="1002"/>
      <c r="D92" s="164"/>
    </row>
    <row r="93" spans="1:24" x14ac:dyDescent="0.35">
      <c r="A93" s="1002"/>
    </row>
    <row r="94" spans="1:24" s="5" customFormat="1" ht="15" thickBot="1" x14ac:dyDescent="0.4">
      <c r="A94" s="1003"/>
    </row>
    <row r="95" spans="1:24" s="34" customFormat="1" ht="15" customHeight="1" thickTop="1" x14ac:dyDescent="0.35">
      <c r="A95" s="1004" t="s">
        <v>666</v>
      </c>
      <c r="B95" s="31"/>
      <c r="C95" s="6"/>
      <c r="D95" s="6"/>
      <c r="E95" s="6"/>
      <c r="F95" s="6"/>
      <c r="G95" s="6"/>
      <c r="H95" s="6"/>
      <c r="I95" s="6"/>
      <c r="J95" s="6"/>
      <c r="K95" s="32"/>
      <c r="L95" s="33"/>
      <c r="M95" s="33"/>
      <c r="N95" s="6"/>
      <c r="O95" s="6"/>
      <c r="P95" s="6"/>
      <c r="Q95" s="6"/>
      <c r="R95" s="6"/>
      <c r="S95" s="6"/>
      <c r="T95" s="6"/>
      <c r="U95" s="6"/>
    </row>
    <row r="96" spans="1:24" ht="16.5" customHeight="1" x14ac:dyDescent="0.35">
      <c r="A96" s="1002"/>
      <c r="B96" s="29"/>
      <c r="C96" s="39" t="s">
        <v>0</v>
      </c>
      <c r="D96" s="40" t="s">
        <v>4</v>
      </c>
      <c r="E96" s="40" t="s">
        <v>5</v>
      </c>
      <c r="F96" s="40" t="s">
        <v>13</v>
      </c>
      <c r="G96" s="40" t="s">
        <v>14</v>
      </c>
      <c r="H96" s="40" t="s">
        <v>15</v>
      </c>
      <c r="I96" s="40" t="s">
        <v>16</v>
      </c>
      <c r="J96" s="3"/>
      <c r="K96" s="39" t="s">
        <v>28</v>
      </c>
      <c r="L96" s="40" t="s">
        <v>26</v>
      </c>
      <c r="M96" s="40" t="s">
        <v>27</v>
      </c>
      <c r="N96" s="3"/>
      <c r="O96" s="44" t="s">
        <v>31</v>
      </c>
      <c r="P96" s="1"/>
      <c r="Q96" s="44" t="s">
        <v>32</v>
      </c>
      <c r="S96" t="s">
        <v>3</v>
      </c>
      <c r="U96" s="3"/>
      <c r="X96" s="30" t="s">
        <v>44</v>
      </c>
    </row>
    <row r="97" spans="1:24" x14ac:dyDescent="0.35">
      <c r="A97" s="1002"/>
      <c r="B97" s="1"/>
      <c r="C97" s="41" t="s">
        <v>6</v>
      </c>
      <c r="D97" s="42">
        <v>1.17E-2</v>
      </c>
      <c r="E97" s="42">
        <v>1.12E-2</v>
      </c>
      <c r="F97" s="42">
        <v>1.66E-2</v>
      </c>
      <c r="G97" s="42">
        <v>1.6E-2</v>
      </c>
      <c r="H97" s="42">
        <v>7.7999999999999996E-3</v>
      </c>
      <c r="I97" s="42">
        <v>3.0000000000000001E-3</v>
      </c>
      <c r="J97" s="1"/>
      <c r="K97" s="41" t="s">
        <v>17</v>
      </c>
      <c r="L97" s="43">
        <v>1</v>
      </c>
      <c r="M97" s="43">
        <v>2</v>
      </c>
      <c r="O97" s="44" t="s">
        <v>30</v>
      </c>
      <c r="P97" s="1">
        <v>1</v>
      </c>
      <c r="Q97" s="44" t="s">
        <v>26</v>
      </c>
      <c r="R97">
        <v>1</v>
      </c>
      <c r="S97" t="s">
        <v>43</v>
      </c>
      <c r="X97" s="30" t="s">
        <v>1101</v>
      </c>
    </row>
    <row r="98" spans="1:24" x14ac:dyDescent="0.35">
      <c r="A98" s="1002"/>
      <c r="B98" s="1"/>
      <c r="C98" s="41" t="s">
        <v>7</v>
      </c>
      <c r="D98" s="42">
        <v>7.4000000000000003E-3</v>
      </c>
      <c r="E98" s="42">
        <v>7.1000000000000004E-3</v>
      </c>
      <c r="F98" s="42">
        <v>1.12E-2</v>
      </c>
      <c r="G98" s="42">
        <v>1.0800000000000001E-2</v>
      </c>
      <c r="H98" s="42">
        <v>4.4999999999999997E-3</v>
      </c>
      <c r="I98" s="42">
        <v>1.8E-3</v>
      </c>
      <c r="J98" s="1"/>
      <c r="K98" s="41" t="s">
        <v>18</v>
      </c>
      <c r="L98" s="43">
        <v>1.4</v>
      </c>
      <c r="M98" s="43">
        <v>2.8</v>
      </c>
      <c r="O98" s="44" t="s">
        <v>29</v>
      </c>
      <c r="P98" s="1">
        <v>2</v>
      </c>
      <c r="Q98" s="44" t="s">
        <v>27</v>
      </c>
      <c r="R98">
        <v>2</v>
      </c>
      <c r="S98" t="s">
        <v>33</v>
      </c>
      <c r="X98" s="30" t="s">
        <v>1102</v>
      </c>
    </row>
    <row r="99" spans="1:24" x14ac:dyDescent="0.35">
      <c r="A99" s="1002"/>
      <c r="B99" s="1"/>
      <c r="C99" s="41" t="s">
        <v>8</v>
      </c>
      <c r="D99" s="42">
        <v>5.3E-3</v>
      </c>
      <c r="E99" s="42">
        <v>5.0000000000000001E-3</v>
      </c>
      <c r="F99" s="42">
        <v>8.5000000000000006E-3</v>
      </c>
      <c r="G99" s="42">
        <v>8.2000000000000007E-3</v>
      </c>
      <c r="H99" s="42">
        <v>3.0000000000000001E-3</v>
      </c>
      <c r="I99" s="42">
        <v>1.2999999999999999E-3</v>
      </c>
      <c r="J99" s="1"/>
      <c r="K99" s="41" t="s">
        <v>19</v>
      </c>
      <c r="L99" s="43">
        <v>2.2000000000000002</v>
      </c>
      <c r="M99" s="43">
        <v>4.4000000000000004</v>
      </c>
      <c r="X99" s="30" t="s">
        <v>1103</v>
      </c>
    </row>
    <row r="100" spans="1:24" x14ac:dyDescent="0.35">
      <c r="A100" s="1002"/>
      <c r="B100" s="1"/>
      <c r="C100" s="41" t="s">
        <v>9</v>
      </c>
      <c r="D100" s="42">
        <v>4.1999999999999997E-3</v>
      </c>
      <c r="E100" s="42">
        <v>4.0000000000000001E-3</v>
      </c>
      <c r="F100" s="42">
        <v>7.1000000000000004E-3</v>
      </c>
      <c r="G100" s="42">
        <v>6.8999999999999999E-3</v>
      </c>
      <c r="H100" s="42">
        <v>2.5000000000000001E-3</v>
      </c>
      <c r="I100" s="42">
        <v>1E-3</v>
      </c>
      <c r="J100" s="1"/>
      <c r="K100" s="41" t="s">
        <v>20</v>
      </c>
      <c r="L100" s="43">
        <v>1.3</v>
      </c>
      <c r="M100" s="43">
        <v>2.6</v>
      </c>
    </row>
    <row r="101" spans="1:24" x14ac:dyDescent="0.35">
      <c r="A101" s="1002"/>
      <c r="B101" s="1"/>
      <c r="C101" s="41" t="s">
        <v>10</v>
      </c>
      <c r="D101" s="42">
        <v>3.3999999999999998E-3</v>
      </c>
      <c r="E101" s="42">
        <v>3.3E-3</v>
      </c>
      <c r="F101" s="42">
        <v>6.3E-3</v>
      </c>
      <c r="G101" s="42">
        <v>6.1000000000000004E-3</v>
      </c>
      <c r="H101" s="42">
        <v>2E-3</v>
      </c>
      <c r="I101" s="42">
        <v>8.0000000000000004E-4</v>
      </c>
      <c r="J101" s="1"/>
      <c r="K101" s="41" t="s">
        <v>21</v>
      </c>
      <c r="L101" s="43">
        <v>1.8</v>
      </c>
      <c r="M101" s="43">
        <v>3.6</v>
      </c>
      <c r="S101" t="s">
        <v>560</v>
      </c>
      <c r="U101">
        <v>250</v>
      </c>
      <c r="X101" s="301"/>
    </row>
    <row r="102" spans="1:24" x14ac:dyDescent="0.35">
      <c r="A102" s="1002"/>
      <c r="B102" s="1"/>
      <c r="C102" s="41" t="s">
        <v>11</v>
      </c>
      <c r="D102" s="42">
        <v>2.7000000000000001E-3</v>
      </c>
      <c r="E102" s="42">
        <v>2.5999999999999999E-3</v>
      </c>
      <c r="F102" s="42">
        <v>5.3E-3</v>
      </c>
      <c r="G102" s="42">
        <v>5.1999999999999998E-3</v>
      </c>
      <c r="H102" s="42">
        <v>1.2999999999999999E-3</v>
      </c>
      <c r="I102" s="42">
        <v>5.0000000000000001E-4</v>
      </c>
      <c r="J102" s="1"/>
      <c r="K102" s="41" t="s">
        <v>22</v>
      </c>
      <c r="L102" s="43">
        <v>2.9</v>
      </c>
      <c r="M102" s="43">
        <v>5.8</v>
      </c>
      <c r="X102" s="301"/>
    </row>
    <row r="103" spans="1:24" x14ac:dyDescent="0.35">
      <c r="A103" s="1002"/>
      <c r="B103" s="1"/>
      <c r="C103" s="41" t="s">
        <v>12</v>
      </c>
      <c r="D103" s="42">
        <v>2E-3</v>
      </c>
      <c r="E103" s="42">
        <v>1.9E-3</v>
      </c>
      <c r="F103" s="42">
        <v>4.4999999999999997E-3</v>
      </c>
      <c r="G103" s="42">
        <v>4.4000000000000003E-3</v>
      </c>
      <c r="H103" s="42">
        <v>1E-3</v>
      </c>
      <c r="I103" s="42">
        <v>5.0000000000000001E-4</v>
      </c>
      <c r="J103" s="1"/>
      <c r="K103" s="41" t="s">
        <v>23</v>
      </c>
      <c r="L103" s="43">
        <v>1.8</v>
      </c>
      <c r="M103" s="43">
        <v>3.6</v>
      </c>
      <c r="X103" s="301"/>
    </row>
    <row r="104" spans="1:24" x14ac:dyDescent="0.35">
      <c r="A104" s="1002"/>
      <c r="B104" s="1"/>
      <c r="J104" s="1"/>
      <c r="K104" s="41" t="s">
        <v>24</v>
      </c>
      <c r="L104" s="43">
        <v>2.5</v>
      </c>
      <c r="M104" s="43">
        <v>5</v>
      </c>
    </row>
    <row r="105" spans="1:24" s="3" customFormat="1" x14ac:dyDescent="0.35">
      <c r="A105" s="1002"/>
      <c r="B105" s="1"/>
      <c r="C105"/>
      <c r="D105"/>
      <c r="E105"/>
      <c r="F105"/>
      <c r="G105"/>
      <c r="H105"/>
      <c r="I105"/>
      <c r="J105" s="1"/>
      <c r="K105" s="41" t="s">
        <v>25</v>
      </c>
      <c r="L105" s="43">
        <v>4</v>
      </c>
      <c r="M105" s="43">
        <v>8</v>
      </c>
      <c r="N105"/>
      <c r="O105"/>
      <c r="P105"/>
      <c r="Q105"/>
      <c r="R105"/>
      <c r="S105"/>
      <c r="T105"/>
      <c r="U105"/>
    </row>
    <row r="106" spans="1:24" s="3" customFormat="1" x14ac:dyDescent="0.35">
      <c r="A106" s="1002"/>
      <c r="B106" s="1"/>
      <c r="C106"/>
      <c r="D106"/>
      <c r="E106"/>
      <c r="F106"/>
      <c r="G106"/>
      <c r="H106"/>
      <c r="I106"/>
      <c r="J106"/>
      <c r="K106" s="24"/>
      <c r="L106" s="25"/>
      <c r="M106" s="25"/>
      <c r="N106"/>
      <c r="O106"/>
      <c r="P106"/>
      <c r="Q106"/>
      <c r="R106"/>
      <c r="S106"/>
      <c r="T106"/>
      <c r="U106"/>
    </row>
    <row r="107" spans="1:24" s="3" customFormat="1" x14ac:dyDescent="0.35">
      <c r="A107" s="1002"/>
      <c r="B107" s="1"/>
      <c r="C107"/>
      <c r="D107"/>
      <c r="E107"/>
      <c r="F107"/>
      <c r="G107"/>
      <c r="H107"/>
      <c r="I107"/>
      <c r="J107"/>
      <c r="K107" s="24"/>
      <c r="L107" s="25"/>
      <c r="M107" s="25"/>
      <c r="N107"/>
      <c r="O107"/>
      <c r="P107"/>
      <c r="Q107"/>
      <c r="R107"/>
      <c r="S107"/>
      <c r="T107"/>
      <c r="U107"/>
    </row>
    <row r="108" spans="1:24" s="3" customFormat="1" x14ac:dyDescent="0.35">
      <c r="A108" s="1002"/>
      <c r="B108" s="1"/>
      <c r="C108"/>
      <c r="D108"/>
      <c r="E108"/>
      <c r="F108"/>
      <c r="G108"/>
      <c r="H108"/>
      <c r="I108"/>
      <c r="J108"/>
      <c r="K108" s="24"/>
      <c r="L108" s="25"/>
      <c r="M108" s="25"/>
      <c r="N108"/>
      <c r="O108"/>
      <c r="P108"/>
      <c r="Q108"/>
      <c r="R108"/>
      <c r="S108"/>
      <c r="T108"/>
      <c r="U108"/>
    </row>
    <row r="109" spans="1:24" s="5" customFormat="1" ht="15" thickBot="1" x14ac:dyDescent="0.4">
      <c r="A109" s="1008"/>
      <c r="B109" s="35"/>
      <c r="C109" s="36"/>
      <c r="D109" s="36"/>
      <c r="E109" s="36"/>
      <c r="F109" s="36"/>
      <c r="G109" s="36"/>
      <c r="H109" s="36"/>
      <c r="I109" s="36"/>
      <c r="J109" s="36"/>
      <c r="K109" s="37"/>
      <c r="L109" s="38"/>
      <c r="M109" s="38"/>
      <c r="N109" s="36"/>
      <c r="O109" s="36"/>
      <c r="P109" s="36"/>
      <c r="Q109" s="36"/>
      <c r="R109" s="36"/>
      <c r="S109" s="36"/>
      <c r="T109" s="36"/>
      <c r="U109" s="36"/>
    </row>
    <row r="110" spans="1:24" ht="15" thickTop="1" x14ac:dyDescent="0.35">
      <c r="A110" s="1004" t="s">
        <v>667</v>
      </c>
    </row>
    <row r="111" spans="1:24" x14ac:dyDescent="0.35">
      <c r="A111" s="1002"/>
      <c r="C111" s="178"/>
      <c r="D111" s="179" t="s">
        <v>185</v>
      </c>
      <c r="E111" s="179" t="s">
        <v>186</v>
      </c>
      <c r="F111" s="179" t="s">
        <v>187</v>
      </c>
      <c r="G111" s="179" t="s">
        <v>188</v>
      </c>
      <c r="H111" s="180" t="s">
        <v>189</v>
      </c>
    </row>
    <row r="112" spans="1:24" ht="15.75" customHeight="1" x14ac:dyDescent="0.35">
      <c r="A112" s="1002"/>
      <c r="C112" s="176" t="s">
        <v>17</v>
      </c>
      <c r="D112" s="181">
        <v>0.72099999999999997</v>
      </c>
      <c r="E112" s="181">
        <v>0.75</v>
      </c>
      <c r="F112" s="181">
        <v>0.76400000000000001</v>
      </c>
      <c r="G112" s="181">
        <v>0.83699999999999997</v>
      </c>
      <c r="H112" s="182">
        <v>0.98299999999999998</v>
      </c>
      <c r="J112" s="185">
        <v>10</v>
      </c>
      <c r="K112" s="186">
        <v>2</v>
      </c>
      <c r="M112" s="178" t="s">
        <v>191</v>
      </c>
      <c r="N112" s="74"/>
      <c r="P112" s="73" t="s">
        <v>183</v>
      </c>
      <c r="Q112" s="74"/>
    </row>
    <row r="113" spans="1:17" x14ac:dyDescent="0.35">
      <c r="A113" s="1002"/>
      <c r="C113" s="176" t="s">
        <v>20</v>
      </c>
      <c r="D113" s="181">
        <v>0.76900000000000002</v>
      </c>
      <c r="E113" s="181">
        <v>0.79800000000000004</v>
      </c>
      <c r="F113" s="181">
        <v>0.81200000000000006</v>
      </c>
      <c r="G113" s="181">
        <v>0.88500000000000001</v>
      </c>
      <c r="H113" s="182">
        <v>1.0309999999999999</v>
      </c>
      <c r="J113" s="187">
        <v>20</v>
      </c>
      <c r="K113" s="188">
        <v>3</v>
      </c>
      <c r="M113" s="75">
        <v>0.5</v>
      </c>
      <c r="N113" s="191">
        <v>1.5</v>
      </c>
      <c r="O113" s="141"/>
      <c r="P113" s="75" t="s">
        <v>192</v>
      </c>
      <c r="Q113" s="76">
        <v>1</v>
      </c>
    </row>
    <row r="114" spans="1:17" x14ac:dyDescent="0.35">
      <c r="A114" s="1002"/>
      <c r="C114" s="176" t="s">
        <v>23</v>
      </c>
      <c r="D114" s="181">
        <v>0.93300000000000005</v>
      </c>
      <c r="E114" s="181">
        <v>0.97699999999999998</v>
      </c>
      <c r="F114" s="181">
        <v>0.999</v>
      </c>
      <c r="G114" s="181">
        <v>1.1080000000000001</v>
      </c>
      <c r="H114" s="182">
        <v>1.327</v>
      </c>
      <c r="J114" s="187">
        <v>25</v>
      </c>
      <c r="K114" s="188">
        <v>4</v>
      </c>
      <c r="M114" s="75">
        <v>1</v>
      </c>
      <c r="N114" s="191">
        <v>1</v>
      </c>
      <c r="O114" s="141"/>
      <c r="P114" s="75" t="s">
        <v>193</v>
      </c>
      <c r="Q114" s="76">
        <v>1.1499999999999999</v>
      </c>
    </row>
    <row r="115" spans="1:17" x14ac:dyDescent="0.35">
      <c r="A115" s="1002"/>
      <c r="C115" s="176" t="s">
        <v>18</v>
      </c>
      <c r="D115" s="181">
        <v>0.73499999999999999</v>
      </c>
      <c r="E115" s="181">
        <v>0.76400000000000001</v>
      </c>
      <c r="F115" s="181">
        <v>0.77800000000000002</v>
      </c>
      <c r="G115" s="181">
        <v>0.85099999999999998</v>
      </c>
      <c r="H115" s="182">
        <v>0.997</v>
      </c>
      <c r="J115" s="187">
        <v>50</v>
      </c>
      <c r="K115" s="188">
        <v>5</v>
      </c>
      <c r="M115" s="75">
        <v>2</v>
      </c>
      <c r="N115" s="191">
        <v>0.9</v>
      </c>
      <c r="O115" s="141"/>
      <c r="P115" s="75" t="s">
        <v>194</v>
      </c>
      <c r="Q115" s="76">
        <v>1.2</v>
      </c>
    </row>
    <row r="116" spans="1:17" x14ac:dyDescent="0.35">
      <c r="A116" s="1002"/>
      <c r="C116" s="176" t="s">
        <v>21</v>
      </c>
      <c r="D116" s="181">
        <v>0.78300000000000003</v>
      </c>
      <c r="E116" s="181">
        <v>0.81200000000000006</v>
      </c>
      <c r="F116" s="181">
        <v>0.82599999999999996</v>
      </c>
      <c r="G116" s="181">
        <v>0.89900000000000002</v>
      </c>
      <c r="H116" s="182">
        <v>1.0449999999999999</v>
      </c>
      <c r="J116" s="189">
        <v>100</v>
      </c>
      <c r="K116" s="190">
        <v>6</v>
      </c>
      <c r="M116" s="75">
        <v>3</v>
      </c>
      <c r="N116" s="191">
        <v>0.8</v>
      </c>
      <c r="O116" s="141"/>
      <c r="P116" s="75" t="s">
        <v>195</v>
      </c>
      <c r="Q116" s="76">
        <v>1.5</v>
      </c>
    </row>
    <row r="117" spans="1:17" x14ac:dyDescent="0.35">
      <c r="A117" s="1002"/>
      <c r="C117" s="176" t="s">
        <v>24</v>
      </c>
      <c r="D117" s="181">
        <v>1.0029999999999999</v>
      </c>
      <c r="E117" s="181">
        <v>1.0469999999999999</v>
      </c>
      <c r="F117" s="181">
        <v>1.069</v>
      </c>
      <c r="G117" s="181">
        <v>1.1779999999999999</v>
      </c>
      <c r="H117" s="182">
        <v>1.3620000000000001</v>
      </c>
      <c r="M117" s="77">
        <v>30</v>
      </c>
      <c r="N117" s="192">
        <v>0.6</v>
      </c>
      <c r="O117" s="141"/>
      <c r="P117" s="75" t="s">
        <v>196</v>
      </c>
      <c r="Q117" s="76">
        <v>1.75</v>
      </c>
    </row>
    <row r="118" spans="1:17" x14ac:dyDescent="0.35">
      <c r="A118" s="1002"/>
      <c r="C118" s="176" t="s">
        <v>19</v>
      </c>
      <c r="D118" s="181">
        <v>0.85899999999999999</v>
      </c>
      <c r="E118" s="181">
        <v>0.88800000000000001</v>
      </c>
      <c r="F118" s="181">
        <v>0.90300000000000002</v>
      </c>
      <c r="G118" s="181">
        <v>0.97599999999999998</v>
      </c>
      <c r="H118" s="182">
        <v>1.1220000000000001</v>
      </c>
      <c r="P118" s="77" t="s">
        <v>197</v>
      </c>
      <c r="Q118" s="79">
        <v>2</v>
      </c>
    </row>
    <row r="119" spans="1:17" x14ac:dyDescent="0.35">
      <c r="A119" s="1002"/>
      <c r="C119" s="176" t="s">
        <v>22</v>
      </c>
      <c r="D119" s="181">
        <v>0.97499999999999998</v>
      </c>
      <c r="E119" s="181">
        <v>1.0329999999999999</v>
      </c>
      <c r="F119" s="181">
        <v>1.0620000000000001</v>
      </c>
      <c r="G119" s="181">
        <v>1.208</v>
      </c>
      <c r="H119" s="182">
        <v>1.4990000000000001</v>
      </c>
    </row>
    <row r="120" spans="1:17" x14ac:dyDescent="0.35">
      <c r="A120" s="1002"/>
      <c r="C120" s="177" t="s">
        <v>25</v>
      </c>
      <c r="D120" s="183">
        <v>1.274</v>
      </c>
      <c r="E120" s="183">
        <v>1.347</v>
      </c>
      <c r="F120" s="183">
        <v>1.383</v>
      </c>
      <c r="G120" s="183">
        <v>1.5649999999999999</v>
      </c>
      <c r="H120" s="184">
        <v>1.8460000000000001</v>
      </c>
    </row>
    <row r="121" spans="1:17" x14ac:dyDescent="0.35">
      <c r="A121" s="1002"/>
    </row>
    <row r="122" spans="1:17" x14ac:dyDescent="0.35">
      <c r="A122" s="1002"/>
    </row>
    <row r="123" spans="1:17" x14ac:dyDescent="0.35">
      <c r="A123" s="1002"/>
    </row>
    <row r="124" spans="1:17" s="5" customFormat="1" ht="15" thickBot="1" x14ac:dyDescent="0.4">
      <c r="A124" s="1003"/>
    </row>
    <row r="125" spans="1:17" s="6" customFormat="1" ht="15" thickTop="1" x14ac:dyDescent="0.35">
      <c r="A125" s="1004" t="s">
        <v>668</v>
      </c>
    </row>
    <row r="126" spans="1:17" x14ac:dyDescent="0.35">
      <c r="A126" s="1002"/>
    </row>
    <row r="127" spans="1:17" x14ac:dyDescent="0.35">
      <c r="A127" s="1002"/>
      <c r="C127" s="73" t="s">
        <v>204</v>
      </c>
      <c r="D127" s="74"/>
      <c r="F127" s="73" t="s">
        <v>208</v>
      </c>
      <c r="G127" s="55"/>
      <c r="H127" s="74"/>
      <c r="J127" s="73" t="s">
        <v>209</v>
      </c>
      <c r="K127" s="74"/>
    </row>
    <row r="128" spans="1:17" x14ac:dyDescent="0.35">
      <c r="A128" s="1002"/>
      <c r="C128" s="199" t="s">
        <v>205</v>
      </c>
      <c r="D128" s="76">
        <v>3.5</v>
      </c>
      <c r="F128" s="75">
        <v>20</v>
      </c>
      <c r="G128">
        <v>50</v>
      </c>
      <c r="H128" s="76">
        <v>1</v>
      </c>
      <c r="J128" s="75" t="s">
        <v>210</v>
      </c>
      <c r="K128" s="76">
        <v>1</v>
      </c>
    </row>
    <row r="129" spans="1:58" x14ac:dyDescent="0.35">
      <c r="A129" s="1002"/>
      <c r="C129" s="199" t="s">
        <v>206</v>
      </c>
      <c r="D129" s="76">
        <v>7</v>
      </c>
      <c r="F129" s="75">
        <v>40</v>
      </c>
      <c r="G129">
        <v>25</v>
      </c>
      <c r="H129" s="76">
        <v>1.8</v>
      </c>
      <c r="J129" s="75" t="s">
        <v>211</v>
      </c>
      <c r="K129" s="76">
        <v>1.8</v>
      </c>
    </row>
    <row r="130" spans="1:58" x14ac:dyDescent="0.35">
      <c r="A130" s="1002"/>
      <c r="C130" s="200" t="s">
        <v>207</v>
      </c>
      <c r="D130" s="79">
        <v>10.5</v>
      </c>
      <c r="F130" s="75">
        <v>50</v>
      </c>
      <c r="G130">
        <v>20</v>
      </c>
      <c r="H130" s="76">
        <v>2</v>
      </c>
      <c r="J130" s="77" t="s">
        <v>212</v>
      </c>
      <c r="K130" s="79">
        <v>2.2000000000000002</v>
      </c>
    </row>
    <row r="131" spans="1:58" x14ac:dyDescent="0.35">
      <c r="A131" s="1002"/>
      <c r="F131" s="75">
        <v>67</v>
      </c>
      <c r="G131">
        <v>15</v>
      </c>
      <c r="H131" s="76">
        <v>2.68</v>
      </c>
    </row>
    <row r="132" spans="1:58" x14ac:dyDescent="0.35">
      <c r="A132" s="1002"/>
      <c r="F132" s="75">
        <v>100</v>
      </c>
      <c r="G132">
        <v>10</v>
      </c>
      <c r="H132" s="76">
        <v>4</v>
      </c>
    </row>
    <row r="133" spans="1:58" x14ac:dyDescent="0.35">
      <c r="A133" s="1002"/>
      <c r="F133" s="77">
        <v>200</v>
      </c>
      <c r="G133" s="78">
        <v>5</v>
      </c>
      <c r="H133" s="79">
        <v>6.4</v>
      </c>
    </row>
    <row r="134" spans="1:58" x14ac:dyDescent="0.35">
      <c r="A134" s="1002"/>
    </row>
    <row r="135" spans="1:58" x14ac:dyDescent="0.35">
      <c r="A135" s="1002"/>
    </row>
    <row r="136" spans="1:58" x14ac:dyDescent="0.35">
      <c r="A136" s="1002"/>
    </row>
    <row r="137" spans="1:58" x14ac:dyDescent="0.35">
      <c r="A137" s="1002"/>
    </row>
    <row r="138" spans="1:58" x14ac:dyDescent="0.35">
      <c r="A138" s="1002"/>
    </row>
    <row r="139" spans="1:58" s="5" customFormat="1" ht="15" thickBot="1" x14ac:dyDescent="0.4">
      <c r="A139" s="1003"/>
    </row>
    <row r="140" spans="1:58" s="6" customFormat="1" ht="15" thickTop="1" x14ac:dyDescent="0.35">
      <c r="A140" s="1004" t="s">
        <v>669</v>
      </c>
    </row>
    <row r="141" spans="1:58" x14ac:dyDescent="0.35">
      <c r="A141" s="1002"/>
      <c r="C141" s="288" t="s">
        <v>490</v>
      </c>
      <c r="F141" s="288" t="s">
        <v>491</v>
      </c>
      <c r="I141" s="288" t="s">
        <v>492</v>
      </c>
      <c r="O141" s="288" t="s">
        <v>493</v>
      </c>
      <c r="W141" s="288" t="s">
        <v>1051</v>
      </c>
      <c r="AG141" s="288" t="s">
        <v>1166</v>
      </c>
      <c r="AN141" s="288" t="s">
        <v>494</v>
      </c>
      <c r="AR141" s="288" t="s">
        <v>495</v>
      </c>
      <c r="AW141" s="288" t="s">
        <v>1167</v>
      </c>
      <c r="BC141" s="288" t="s">
        <v>1168</v>
      </c>
    </row>
    <row r="142" spans="1:58" x14ac:dyDescent="0.35">
      <c r="A142" s="1002"/>
      <c r="C142" s="89" t="s">
        <v>432</v>
      </c>
      <c r="D142" s="1">
        <v>1</v>
      </c>
      <c r="F142" s="89" t="s">
        <v>496</v>
      </c>
      <c r="H142" s="1">
        <v>1</v>
      </c>
      <c r="I142" s="89" t="s">
        <v>445</v>
      </c>
      <c r="K142" s="268">
        <v>0</v>
      </c>
      <c r="O142" t="s">
        <v>442</v>
      </c>
      <c r="W142" t="s">
        <v>497</v>
      </c>
      <c r="AC142" t="s">
        <v>240</v>
      </c>
      <c r="AD142" s="1">
        <v>1</v>
      </c>
      <c r="AE142" s="268">
        <v>0.6</v>
      </c>
      <c r="AG142" t="s">
        <v>498</v>
      </c>
      <c r="AL142" s="1">
        <v>1.2</v>
      </c>
      <c r="AN142" t="s">
        <v>563</v>
      </c>
      <c r="AP142" s="353">
        <v>0</v>
      </c>
      <c r="AR142" t="s">
        <v>499</v>
      </c>
      <c r="AT142" s="353">
        <v>0</v>
      </c>
      <c r="AX142" s="122" t="s">
        <v>240</v>
      </c>
      <c r="AY142" s="122" t="s">
        <v>242</v>
      </c>
      <c r="AZ142" s="122" t="s">
        <v>244</v>
      </c>
      <c r="BA142" s="122" t="s">
        <v>363</v>
      </c>
    </row>
    <row r="143" spans="1:58" x14ac:dyDescent="0.35">
      <c r="A143" s="1002"/>
      <c r="C143" s="89" t="s">
        <v>500</v>
      </c>
      <c r="D143" s="1">
        <v>1</v>
      </c>
      <c r="F143" s="89" t="s">
        <v>448</v>
      </c>
      <c r="H143" s="1">
        <v>2</v>
      </c>
      <c r="I143" t="s">
        <v>501</v>
      </c>
      <c r="K143" s="268">
        <v>0.5</v>
      </c>
      <c r="O143" s="820" t="s">
        <v>502</v>
      </c>
      <c r="P143" t="s">
        <v>1148</v>
      </c>
      <c r="W143" t="s">
        <v>503</v>
      </c>
      <c r="AC143" t="s">
        <v>242</v>
      </c>
      <c r="AD143" s="1">
        <v>2</v>
      </c>
      <c r="AE143" s="268">
        <v>0.7</v>
      </c>
      <c r="AG143" t="s">
        <v>504</v>
      </c>
      <c r="AL143" s="1">
        <v>1</v>
      </c>
      <c r="AN143" t="s">
        <v>505</v>
      </c>
      <c r="AP143" s="353">
        <v>0.15</v>
      </c>
      <c r="AR143" t="s">
        <v>419</v>
      </c>
      <c r="AT143" s="353">
        <v>0.25</v>
      </c>
      <c r="AW143" s="89" t="s">
        <v>432</v>
      </c>
      <c r="AX143">
        <v>2.4E-2</v>
      </c>
      <c r="AY143">
        <v>4.2000000000000003E-2</v>
      </c>
      <c r="AZ143">
        <v>6.9000000000000006E-2</v>
      </c>
      <c r="BA143">
        <v>0.112</v>
      </c>
      <c r="BC143" s="89" t="s">
        <v>432</v>
      </c>
      <c r="BD143">
        <v>6665</v>
      </c>
      <c r="BE143">
        <v>1000</v>
      </c>
      <c r="BF143">
        <f>ROUND(BE143/BD143,5)</f>
        <v>0.15004000000000001</v>
      </c>
    </row>
    <row r="144" spans="1:58" x14ac:dyDescent="0.35">
      <c r="A144" s="1002"/>
      <c r="C144" s="89" t="s">
        <v>506</v>
      </c>
      <c r="D144" s="1">
        <v>1</v>
      </c>
      <c r="I144" s="89" t="s">
        <v>507</v>
      </c>
      <c r="K144" s="268">
        <v>0.5</v>
      </c>
      <c r="W144" t="s">
        <v>508</v>
      </c>
      <c r="AC144" t="s">
        <v>244</v>
      </c>
      <c r="AD144" s="1">
        <v>3</v>
      </c>
      <c r="AE144" s="268">
        <v>0.75</v>
      </c>
      <c r="AG144" t="s">
        <v>434</v>
      </c>
      <c r="AL144" s="1">
        <v>0.9</v>
      </c>
      <c r="AN144" t="s">
        <v>509</v>
      </c>
      <c r="AP144" s="353">
        <v>0</v>
      </c>
      <c r="AW144" s="89" t="s">
        <v>500</v>
      </c>
      <c r="AX144">
        <v>5.8000000000000003E-2</v>
      </c>
      <c r="AY144">
        <v>8.5999999999999993E-2</v>
      </c>
      <c r="AZ144">
        <v>0.14099999999999999</v>
      </c>
      <c r="BA144">
        <v>0.23100000000000001</v>
      </c>
      <c r="BC144" s="89" t="s">
        <v>500</v>
      </c>
      <c r="BD144">
        <v>3335</v>
      </c>
      <c r="BE144">
        <v>500</v>
      </c>
      <c r="BF144">
        <f t="shared" ref="BF144:BF149" si="4">ROUND(BE144/BD144,5)</f>
        <v>0.14993000000000001</v>
      </c>
    </row>
    <row r="145" spans="1:58" x14ac:dyDescent="0.35">
      <c r="A145" s="1002"/>
      <c r="C145" s="89" t="s">
        <v>510</v>
      </c>
      <c r="D145" s="1">
        <v>1</v>
      </c>
      <c r="I145" t="s">
        <v>511</v>
      </c>
      <c r="K145" s="268">
        <v>0.5</v>
      </c>
      <c r="W145" t="s">
        <v>512</v>
      </c>
      <c r="AC145" t="s">
        <v>242</v>
      </c>
      <c r="AD145" s="1">
        <v>2</v>
      </c>
      <c r="AE145" s="268">
        <v>0.7</v>
      </c>
      <c r="AW145" s="89" t="s">
        <v>506</v>
      </c>
      <c r="AX145">
        <v>0.105</v>
      </c>
      <c r="AY145">
        <v>0.183</v>
      </c>
      <c r="AZ145">
        <v>0.29599999999999999</v>
      </c>
      <c r="BA145">
        <v>0.48599999999999999</v>
      </c>
      <c r="BC145" s="89" t="s">
        <v>506</v>
      </c>
      <c r="BD145">
        <v>1665</v>
      </c>
      <c r="BE145">
        <v>250</v>
      </c>
      <c r="BF145">
        <f t="shared" si="4"/>
        <v>0.15015000000000001</v>
      </c>
    </row>
    <row r="146" spans="1:58" x14ac:dyDescent="0.35">
      <c r="A146" s="1002"/>
      <c r="C146" s="89" t="s">
        <v>513</v>
      </c>
      <c r="D146" s="1">
        <v>1</v>
      </c>
      <c r="W146" t="s">
        <v>514</v>
      </c>
      <c r="AC146" t="s">
        <v>244</v>
      </c>
      <c r="AD146" s="1">
        <v>3</v>
      </c>
      <c r="AE146" s="268">
        <v>0.75</v>
      </c>
      <c r="AN146" s="288" t="s">
        <v>515</v>
      </c>
      <c r="AR146" s="288" t="s">
        <v>516</v>
      </c>
      <c r="AW146" s="89" t="s">
        <v>510</v>
      </c>
      <c r="AX146">
        <v>0.221</v>
      </c>
      <c r="AY146">
        <v>0.38400000000000001</v>
      </c>
      <c r="AZ146">
        <v>0.624</v>
      </c>
      <c r="BA146">
        <v>1.02</v>
      </c>
      <c r="BC146" s="89" t="s">
        <v>510</v>
      </c>
      <c r="BD146">
        <v>835</v>
      </c>
      <c r="BE146">
        <v>125</v>
      </c>
      <c r="BF146">
        <f t="shared" si="4"/>
        <v>0.1497</v>
      </c>
    </row>
    <row r="147" spans="1:58" ht="15" customHeight="1" x14ac:dyDescent="0.35">
      <c r="A147" s="1002"/>
      <c r="C147" s="89" t="s">
        <v>517</v>
      </c>
      <c r="D147" s="1">
        <v>1.2</v>
      </c>
      <c r="F147" s="288" t="s">
        <v>1147</v>
      </c>
      <c r="L147" s="234" t="s">
        <v>496</v>
      </c>
      <c r="M147" s="234" t="s">
        <v>448</v>
      </c>
      <c r="W147" t="s">
        <v>518</v>
      </c>
      <c r="AC147" t="s">
        <v>363</v>
      </c>
      <c r="AD147" s="1">
        <v>4</v>
      </c>
      <c r="AE147" s="268">
        <v>0.8</v>
      </c>
      <c r="AG147" s="288" t="s">
        <v>148</v>
      </c>
      <c r="AN147" t="s">
        <v>423</v>
      </c>
      <c r="AP147" s="353">
        <v>0</v>
      </c>
      <c r="AR147" t="s">
        <v>417</v>
      </c>
      <c r="AT147" s="353">
        <v>0</v>
      </c>
      <c r="AW147" s="89" t="s">
        <v>513</v>
      </c>
      <c r="AX147">
        <v>0.28899999999999998</v>
      </c>
      <c r="AY147">
        <v>0.45100000000000001</v>
      </c>
      <c r="AZ147">
        <v>0.81899999999999995</v>
      </c>
      <c r="BA147">
        <v>1.339</v>
      </c>
      <c r="BC147" s="89" t="s">
        <v>513</v>
      </c>
      <c r="BD147">
        <v>665</v>
      </c>
      <c r="BE147">
        <v>100</v>
      </c>
      <c r="BF147">
        <f t="shared" si="4"/>
        <v>0.15038000000000001</v>
      </c>
    </row>
    <row r="148" spans="1:58" x14ac:dyDescent="0.35">
      <c r="A148" s="1002"/>
      <c r="C148" s="89" t="s">
        <v>519</v>
      </c>
      <c r="D148" s="1">
        <v>1.5</v>
      </c>
      <c r="F148" s="89" t="s">
        <v>520</v>
      </c>
      <c r="L148" s="268">
        <v>3</v>
      </c>
      <c r="M148" s="268">
        <v>4.05</v>
      </c>
      <c r="O148" s="288" t="s">
        <v>740</v>
      </c>
      <c r="W148" t="s">
        <v>521</v>
      </c>
      <c r="AC148" t="s">
        <v>244</v>
      </c>
      <c r="AD148" s="1">
        <v>3</v>
      </c>
      <c r="AE148" s="268">
        <v>0.75</v>
      </c>
      <c r="AG148" t="s">
        <v>426</v>
      </c>
      <c r="AI148" s="353">
        <v>0</v>
      </c>
      <c r="AN148" t="s">
        <v>522</v>
      </c>
      <c r="AP148" s="353">
        <v>0.2</v>
      </c>
      <c r="AR148" t="s">
        <v>523</v>
      </c>
      <c r="AT148" s="353">
        <v>0.25</v>
      </c>
      <c r="AW148" s="89" t="s">
        <v>517</v>
      </c>
      <c r="AX148">
        <v>0.60599999999999998</v>
      </c>
      <c r="AY148">
        <v>1.0569999999999999</v>
      </c>
      <c r="AZ148">
        <v>1.716</v>
      </c>
      <c r="BA148">
        <v>2.8050000000000002</v>
      </c>
      <c r="BC148" s="89" t="s">
        <v>517</v>
      </c>
      <c r="BD148">
        <v>500</v>
      </c>
      <c r="BE148">
        <v>75</v>
      </c>
      <c r="BF148">
        <f t="shared" si="4"/>
        <v>0.15</v>
      </c>
    </row>
    <row r="149" spans="1:58" x14ac:dyDescent="0.35">
      <c r="A149" s="1002"/>
      <c r="F149" s="89" t="s">
        <v>524</v>
      </c>
      <c r="L149" s="268">
        <v>3.45</v>
      </c>
      <c r="M149" s="268">
        <v>4.6500000000000004</v>
      </c>
      <c r="O149" t="s">
        <v>527</v>
      </c>
      <c r="Q149" t="s">
        <v>728</v>
      </c>
      <c r="T149" t="s">
        <v>1048</v>
      </c>
      <c r="W149" t="s">
        <v>431</v>
      </c>
      <c r="AC149" t="s">
        <v>363</v>
      </c>
      <c r="AD149" s="1">
        <v>4</v>
      </c>
      <c r="AE149" s="268">
        <v>0.8</v>
      </c>
      <c r="AG149" t="s">
        <v>525</v>
      </c>
      <c r="AI149" s="353">
        <v>0.15</v>
      </c>
      <c r="AW149" s="89" t="s">
        <v>519</v>
      </c>
      <c r="AX149">
        <v>1.234</v>
      </c>
      <c r="AY149">
        <v>2.1520000000000001</v>
      </c>
      <c r="AZ149">
        <v>3.4940000000000002</v>
      </c>
      <c r="BA149">
        <v>5.7119999999999997</v>
      </c>
      <c r="BC149" s="89" t="s">
        <v>519</v>
      </c>
      <c r="BD149">
        <v>335</v>
      </c>
      <c r="BE149">
        <v>50</v>
      </c>
      <c r="BF149">
        <f t="shared" si="4"/>
        <v>0.14924999999999999</v>
      </c>
    </row>
    <row r="150" spans="1:58" x14ac:dyDescent="0.35">
      <c r="A150" s="1002"/>
      <c r="F150" s="89" t="s">
        <v>526</v>
      </c>
      <c r="L150" s="268">
        <v>3.84</v>
      </c>
      <c r="M150" s="268">
        <v>5.19</v>
      </c>
      <c r="O150" t="s">
        <v>436</v>
      </c>
      <c r="Q150" t="s">
        <v>729</v>
      </c>
      <c r="T150" t="s">
        <v>1049</v>
      </c>
      <c r="W150" t="s">
        <v>528</v>
      </c>
      <c r="AC150" t="s">
        <v>252</v>
      </c>
      <c r="AD150" s="1">
        <v>4</v>
      </c>
      <c r="AE150" s="268">
        <v>0.8</v>
      </c>
      <c r="AN150" s="288" t="s">
        <v>529</v>
      </c>
    </row>
    <row r="151" spans="1:58" x14ac:dyDescent="0.35">
      <c r="A151" s="1002"/>
      <c r="F151" s="89" t="s">
        <v>447</v>
      </c>
      <c r="L151" s="268">
        <v>4.8600000000000003</v>
      </c>
      <c r="M151" s="268">
        <v>6.57</v>
      </c>
      <c r="O151" t="s">
        <v>628</v>
      </c>
      <c r="Q151" t="s">
        <v>730</v>
      </c>
      <c r="T151" t="s">
        <v>1050</v>
      </c>
      <c r="W151" t="s">
        <v>530</v>
      </c>
      <c r="AC151" t="s">
        <v>363</v>
      </c>
      <c r="AD151" s="1">
        <v>4</v>
      </c>
      <c r="AE151" s="268">
        <v>0.8</v>
      </c>
      <c r="AN151" t="s">
        <v>531</v>
      </c>
      <c r="AP151" s="353">
        <v>0</v>
      </c>
    </row>
    <row r="152" spans="1:58" x14ac:dyDescent="0.35">
      <c r="A152" s="1002"/>
      <c r="F152" s="89" t="s">
        <v>532</v>
      </c>
      <c r="L152" s="268">
        <v>0</v>
      </c>
      <c r="M152" s="268">
        <v>0</v>
      </c>
      <c r="W152" t="s">
        <v>533</v>
      </c>
      <c r="AC152" t="s">
        <v>252</v>
      </c>
      <c r="AD152" s="1">
        <v>4</v>
      </c>
      <c r="AE152" s="268">
        <v>0.8</v>
      </c>
      <c r="AN152" t="s">
        <v>534</v>
      </c>
      <c r="AP152" s="353">
        <v>0.1</v>
      </c>
    </row>
    <row r="153" spans="1:58" x14ac:dyDescent="0.35">
      <c r="A153" s="1002"/>
      <c r="O153" t="s">
        <v>478</v>
      </c>
      <c r="W153" t="s">
        <v>535</v>
      </c>
      <c r="AC153" t="s">
        <v>252</v>
      </c>
      <c r="AD153" s="1">
        <v>4</v>
      </c>
      <c r="AE153" s="268">
        <v>0.8</v>
      </c>
      <c r="AN153" t="s">
        <v>421</v>
      </c>
      <c r="AP153" s="353">
        <v>0.25</v>
      </c>
    </row>
    <row r="154" spans="1:58" s="5" customFormat="1" ht="15" thickBot="1" x14ac:dyDescent="0.4">
      <c r="A154" s="1003"/>
    </row>
    <row r="155" spans="1:58" s="6" customFormat="1" ht="15" thickTop="1" x14ac:dyDescent="0.35">
      <c r="A155" s="1004" t="s">
        <v>670</v>
      </c>
    </row>
    <row r="156" spans="1:58" x14ac:dyDescent="0.35">
      <c r="A156" s="1002"/>
      <c r="C156" s="1009" t="s">
        <v>238</v>
      </c>
      <c r="D156" s="1011" t="s">
        <v>232</v>
      </c>
      <c r="E156" s="212" t="s">
        <v>236</v>
      </c>
      <c r="F156" s="212" t="s">
        <v>237</v>
      </c>
      <c r="G156" s="1013" t="s">
        <v>235</v>
      </c>
    </row>
    <row r="157" spans="1:58" x14ac:dyDescent="0.35">
      <c r="A157" s="1002"/>
      <c r="C157" s="1010"/>
      <c r="D157" s="1012"/>
      <c r="E157" s="149" t="s">
        <v>233</v>
      </c>
      <c r="F157" s="149" t="s">
        <v>234</v>
      </c>
      <c r="G157" s="1014"/>
    </row>
    <row r="158" spans="1:58" x14ac:dyDescent="0.35">
      <c r="A158" s="1002"/>
      <c r="C158" s="75">
        <v>1</v>
      </c>
      <c r="D158" t="s">
        <v>219</v>
      </c>
      <c r="E158" s="141">
        <v>0.3</v>
      </c>
      <c r="F158" s="141">
        <v>0.59</v>
      </c>
      <c r="G158" s="191">
        <f>SUM(E158:F158)</f>
        <v>0.8899999999999999</v>
      </c>
      <c r="I158" s="1009" t="s">
        <v>239</v>
      </c>
      <c r="J158" s="1011"/>
      <c r="K158" s="1016" t="s">
        <v>148</v>
      </c>
      <c r="L158" s="1016"/>
      <c r="M158" s="1017"/>
    </row>
    <row r="159" spans="1:58" x14ac:dyDescent="0.35">
      <c r="A159" s="1002"/>
      <c r="C159" s="75">
        <v>2</v>
      </c>
      <c r="D159" t="s">
        <v>220</v>
      </c>
      <c r="E159" s="141">
        <v>0.3</v>
      </c>
      <c r="F159" s="141">
        <v>0.31</v>
      </c>
      <c r="G159" s="191">
        <f t="shared" ref="G159:G170" si="5">SUM(E159:F159)</f>
        <v>0.61</v>
      </c>
      <c r="I159" s="1010"/>
      <c r="J159" s="1012"/>
      <c r="K159" s="78" t="s">
        <v>173</v>
      </c>
      <c r="L159" s="78" t="s">
        <v>174</v>
      </c>
      <c r="M159" s="79" t="s">
        <v>175</v>
      </c>
    </row>
    <row r="160" spans="1:58" x14ac:dyDescent="0.35">
      <c r="A160" s="1002"/>
      <c r="C160" s="75">
        <v>3</v>
      </c>
      <c r="D160" t="s">
        <v>221</v>
      </c>
      <c r="E160" s="141">
        <v>0.12</v>
      </c>
      <c r="F160" s="141">
        <v>0.18</v>
      </c>
      <c r="G160" s="191">
        <f t="shared" si="5"/>
        <v>0.3</v>
      </c>
      <c r="I160" s="75" t="s">
        <v>240</v>
      </c>
      <c r="J160" t="s">
        <v>241</v>
      </c>
      <c r="K160" s="141">
        <v>1</v>
      </c>
      <c r="L160" s="141">
        <v>1.1000000000000001</v>
      </c>
      <c r="M160" s="191">
        <v>1.45</v>
      </c>
    </row>
    <row r="161" spans="1:13" x14ac:dyDescent="0.35">
      <c r="A161" s="1002"/>
      <c r="C161" s="75">
        <v>4</v>
      </c>
      <c r="D161" t="s">
        <v>222</v>
      </c>
      <c r="E161" s="141">
        <v>0.54</v>
      </c>
      <c r="F161" s="141">
        <v>0.27</v>
      </c>
      <c r="G161" s="191">
        <f t="shared" si="5"/>
        <v>0.81</v>
      </c>
      <c r="I161" s="75" t="s">
        <v>242</v>
      </c>
      <c r="J161" t="s">
        <v>243</v>
      </c>
      <c r="K161" s="141">
        <v>1.1499999999999999</v>
      </c>
      <c r="L161" s="141">
        <v>1.25</v>
      </c>
      <c r="M161" s="191">
        <v>1.65</v>
      </c>
    </row>
    <row r="162" spans="1:13" x14ac:dyDescent="0.35">
      <c r="A162" s="1002"/>
      <c r="C162" s="75">
        <v>5</v>
      </c>
      <c r="D162" t="s">
        <v>223</v>
      </c>
      <c r="E162" s="141">
        <v>0.54</v>
      </c>
      <c r="F162" s="141">
        <v>0.17</v>
      </c>
      <c r="G162" s="191">
        <f t="shared" si="5"/>
        <v>0.71000000000000008</v>
      </c>
      <c r="I162" s="77" t="s">
        <v>244</v>
      </c>
      <c r="J162" s="78" t="s">
        <v>245</v>
      </c>
      <c r="K162" s="231">
        <v>1.75</v>
      </c>
      <c r="L162" s="231">
        <v>1.9</v>
      </c>
      <c r="M162" s="192">
        <v>2.5</v>
      </c>
    </row>
    <row r="163" spans="1:13" x14ac:dyDescent="0.35">
      <c r="A163" s="1002"/>
      <c r="C163" s="75">
        <v>6</v>
      </c>
      <c r="D163" t="s">
        <v>224</v>
      </c>
      <c r="E163" s="141">
        <v>0.12</v>
      </c>
      <c r="F163" s="141">
        <v>0.05</v>
      </c>
      <c r="G163" s="191">
        <f t="shared" si="5"/>
        <v>0.16999999999999998</v>
      </c>
    </row>
    <row r="164" spans="1:13" x14ac:dyDescent="0.35">
      <c r="A164" s="1002"/>
      <c r="C164" s="75">
        <v>7</v>
      </c>
      <c r="D164" t="s">
        <v>225</v>
      </c>
      <c r="E164" s="141">
        <v>0.18</v>
      </c>
      <c r="F164" s="141">
        <v>0.02</v>
      </c>
      <c r="G164" s="191">
        <f t="shared" si="5"/>
        <v>0.19999999999999998</v>
      </c>
    </row>
    <row r="165" spans="1:13" x14ac:dyDescent="0.35">
      <c r="A165" s="1002"/>
      <c r="C165" s="75">
        <v>8</v>
      </c>
      <c r="D165" t="s">
        <v>226</v>
      </c>
      <c r="E165" s="141">
        <v>0.03</v>
      </c>
      <c r="F165" s="141">
        <v>7.0000000000000007E-2</v>
      </c>
      <c r="G165" s="191">
        <f t="shared" si="5"/>
        <v>0.1</v>
      </c>
      <c r="I165" s="73" t="s">
        <v>248</v>
      </c>
      <c r="J165" s="74"/>
    </row>
    <row r="166" spans="1:13" x14ac:dyDescent="0.35">
      <c r="A166" s="1002"/>
      <c r="C166" s="75">
        <v>9</v>
      </c>
      <c r="D166" t="s">
        <v>227</v>
      </c>
      <c r="E166" s="141">
        <v>0.03</v>
      </c>
      <c r="F166" s="141">
        <v>0.04</v>
      </c>
      <c r="G166" s="191">
        <f t="shared" si="5"/>
        <v>7.0000000000000007E-2</v>
      </c>
      <c r="I166" s="75" t="s">
        <v>173</v>
      </c>
      <c r="J166" s="76">
        <v>3</v>
      </c>
    </row>
    <row r="167" spans="1:13" x14ac:dyDescent="0.35">
      <c r="A167" s="1002"/>
      <c r="C167" s="75">
        <v>10</v>
      </c>
      <c r="D167" t="s">
        <v>228</v>
      </c>
      <c r="E167" s="141">
        <v>0.03</v>
      </c>
      <c r="F167" s="141">
        <v>0.1</v>
      </c>
      <c r="G167" s="191">
        <f t="shared" si="5"/>
        <v>0.13</v>
      </c>
      <c r="I167" s="75" t="s">
        <v>174</v>
      </c>
      <c r="J167" s="76">
        <v>4</v>
      </c>
    </row>
    <row r="168" spans="1:13" x14ac:dyDescent="0.35">
      <c r="A168" s="1002"/>
      <c r="C168" s="75">
        <v>11</v>
      </c>
      <c r="D168" t="s">
        <v>229</v>
      </c>
      <c r="E168" s="141">
        <v>0.05</v>
      </c>
      <c r="F168" s="141">
        <v>0.1</v>
      </c>
      <c r="G168" s="191">
        <f t="shared" si="5"/>
        <v>0.15000000000000002</v>
      </c>
      <c r="I168" s="77" t="s">
        <v>175</v>
      </c>
      <c r="J168" s="79">
        <v>5</v>
      </c>
    </row>
    <row r="169" spans="1:13" x14ac:dyDescent="0.35">
      <c r="A169" s="1002"/>
      <c r="C169" s="75">
        <v>12</v>
      </c>
      <c r="D169" t="s">
        <v>230</v>
      </c>
      <c r="E169" s="141">
        <v>0.3</v>
      </c>
      <c r="F169" s="141">
        <v>0.24</v>
      </c>
      <c r="G169" s="191">
        <f t="shared" si="5"/>
        <v>0.54</v>
      </c>
    </row>
    <row r="170" spans="1:13" x14ac:dyDescent="0.35">
      <c r="A170" s="1002"/>
      <c r="C170" s="77">
        <v>13</v>
      </c>
      <c r="D170" s="78" t="s">
        <v>231</v>
      </c>
      <c r="E170" s="231">
        <v>0.68</v>
      </c>
      <c r="F170" s="231">
        <v>0.18</v>
      </c>
      <c r="G170" s="192">
        <f t="shared" si="5"/>
        <v>0.8600000000000001</v>
      </c>
    </row>
    <row r="171" spans="1:13" x14ac:dyDescent="0.35">
      <c r="A171" s="1002"/>
    </row>
    <row r="172" spans="1:13" x14ac:dyDescent="0.35">
      <c r="A172" s="1002"/>
    </row>
    <row r="173" spans="1:13" x14ac:dyDescent="0.35">
      <c r="A173" s="1002"/>
    </row>
    <row r="174" spans="1:13" s="516" customFormat="1" ht="15" thickBot="1" x14ac:dyDescent="0.4">
      <c r="A174" s="1003"/>
    </row>
    <row r="175" spans="1:13" s="822" customFormat="1" x14ac:dyDescent="0.35">
      <c r="A175" s="788"/>
    </row>
    <row r="176" spans="1:13" s="615" customFormat="1" x14ac:dyDescent="0.35">
      <c r="A176" s="789"/>
      <c r="C176" s="823" t="s">
        <v>739</v>
      </c>
    </row>
    <row r="177" spans="1:8" s="825" customFormat="1" ht="20.25" customHeight="1" x14ac:dyDescent="0.35">
      <c r="A177" s="824"/>
      <c r="C177" s="825" t="s">
        <v>1162</v>
      </c>
      <c r="D177" s="825" t="s">
        <v>39</v>
      </c>
      <c r="E177" s="825" t="s">
        <v>1163</v>
      </c>
      <c r="H177" s="825" t="s">
        <v>1164</v>
      </c>
    </row>
    <row r="178" spans="1:8" s="615" customFormat="1" x14ac:dyDescent="0.35">
      <c r="A178" s="789"/>
      <c r="C178" s="616">
        <v>46024</v>
      </c>
      <c r="D178" s="711" t="s">
        <v>845</v>
      </c>
      <c r="E178" s="615" t="s">
        <v>1121</v>
      </c>
      <c r="H178" s="615" t="s">
        <v>1165</v>
      </c>
    </row>
    <row r="179" spans="1:8" s="615" customFormat="1" x14ac:dyDescent="0.35">
      <c r="A179" s="789"/>
      <c r="C179" s="616"/>
      <c r="D179" s="711"/>
    </row>
    <row r="180" spans="1:8" s="615" customFormat="1" x14ac:dyDescent="0.35">
      <c r="A180" s="789"/>
      <c r="C180" s="616"/>
      <c r="D180" s="711"/>
    </row>
    <row r="181" spans="1:8" s="615" customFormat="1" x14ac:dyDescent="0.35">
      <c r="A181" s="789"/>
      <c r="C181" s="616"/>
      <c r="D181" s="711"/>
    </row>
    <row r="182" spans="1:8" s="615" customFormat="1" x14ac:dyDescent="0.35">
      <c r="A182" s="789"/>
      <c r="C182" s="616"/>
      <c r="D182" s="711"/>
    </row>
    <row r="183" spans="1:8" s="617" customFormat="1" ht="15" thickBot="1" x14ac:dyDescent="0.4">
      <c r="A183" s="790"/>
    </row>
    <row r="186" spans="1:8" x14ac:dyDescent="0.35">
      <c r="B186" s="111"/>
    </row>
    <row r="187" spans="1:8" ht="8.25" customHeight="1" x14ac:dyDescent="0.35"/>
  </sheetData>
  <mergeCells count="37">
    <mergeCell ref="Q22:T22"/>
    <mergeCell ref="I158:J159"/>
    <mergeCell ref="K158:M158"/>
    <mergeCell ref="AV65:AV79"/>
    <mergeCell ref="A110:A124"/>
    <mergeCell ref="A125:A139"/>
    <mergeCell ref="A140:A154"/>
    <mergeCell ref="AP65:AP79"/>
    <mergeCell ref="R68:V68"/>
    <mergeCell ref="W68:AA68"/>
    <mergeCell ref="AB68:AE68"/>
    <mergeCell ref="B65:B79"/>
    <mergeCell ref="M68:P68"/>
    <mergeCell ref="H68:L68"/>
    <mergeCell ref="C68:G68"/>
    <mergeCell ref="AI68:AJ68"/>
    <mergeCell ref="AK68:AL68"/>
    <mergeCell ref="G156:G157"/>
    <mergeCell ref="AK69:AL69"/>
    <mergeCell ref="AK70:AL70"/>
    <mergeCell ref="AK71:AL71"/>
    <mergeCell ref="AK72:AL72"/>
    <mergeCell ref="AI69:AJ69"/>
    <mergeCell ref="AI70:AJ70"/>
    <mergeCell ref="AI71:AJ71"/>
    <mergeCell ref="AI72:AJ72"/>
    <mergeCell ref="A155:A174"/>
    <mergeCell ref="A95:A109"/>
    <mergeCell ref="A80:A94"/>
    <mergeCell ref="C156:C157"/>
    <mergeCell ref="D156:D157"/>
    <mergeCell ref="A1:A19"/>
    <mergeCell ref="A20:A34"/>
    <mergeCell ref="J22:N22"/>
    <mergeCell ref="A35:A49"/>
    <mergeCell ref="A65:A79"/>
    <mergeCell ref="A50:A64"/>
  </mergeCells>
  <hyperlinks>
    <hyperlink ref="D178" r:id="rId1" xr:uid="{70ABA51C-3DBC-4C6F-8196-25EF3566153F}"/>
  </hyperlinks>
  <pageMargins left="0.7" right="0.7" top="0.78740157499999996" bottom="0.78740157499999996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35</vt:i4>
      </vt:variant>
      <vt:variant>
        <vt:lpstr>Benannte Bereiche</vt:lpstr>
      </vt:variant>
      <vt:variant>
        <vt:i4>223</vt:i4>
      </vt:variant>
    </vt:vector>
  </HeadingPairs>
  <TitlesOfParts>
    <vt:vector size="258" baseType="lpstr">
      <vt:lpstr>Inhaltsverz.</vt:lpstr>
      <vt:lpstr>Gesamt</vt:lpstr>
      <vt:lpstr>3.1</vt:lpstr>
      <vt:lpstr>4.1.1</vt:lpstr>
      <vt:lpstr>4.1.3</vt:lpstr>
      <vt:lpstr>4.2</vt:lpstr>
      <vt:lpstr>4.3</vt:lpstr>
      <vt:lpstr>4.4.2</vt:lpstr>
      <vt:lpstr>4.4.x</vt:lpstr>
      <vt:lpstr>4.5</vt:lpstr>
      <vt:lpstr>4.6</vt:lpstr>
      <vt:lpstr>4.7.1</vt:lpstr>
      <vt:lpstr>4.7.2</vt:lpstr>
      <vt:lpstr>4.7.3</vt:lpstr>
      <vt:lpstr>4.7.4</vt:lpstr>
      <vt:lpstr>4.7.5</vt:lpstr>
      <vt:lpstr>4.8</vt:lpstr>
      <vt:lpstr>4.9</vt:lpstr>
      <vt:lpstr>4.10</vt:lpstr>
      <vt:lpstr>4.11</vt:lpstr>
      <vt:lpstr>4.12</vt:lpstr>
      <vt:lpstr>4.13</vt:lpstr>
      <vt:lpstr>4.14</vt:lpstr>
      <vt:lpstr>4.15</vt:lpstr>
      <vt:lpstr>5.1</vt:lpstr>
      <vt:lpstr>6.1</vt:lpstr>
      <vt:lpstr>6.2</vt:lpstr>
      <vt:lpstr>6.2a</vt:lpstr>
      <vt:lpstr>6.2b</vt:lpstr>
      <vt:lpstr>6.2c</vt:lpstr>
      <vt:lpstr>6.2d</vt:lpstr>
      <vt:lpstr>6.3</vt:lpstr>
      <vt:lpstr>7.1</vt:lpstr>
      <vt:lpstr>7.2</vt:lpstr>
      <vt:lpstr>Konstante</vt:lpstr>
      <vt:lpstr>'6.1'!_Ref295723403</vt:lpstr>
      <vt:lpstr>'4.10'!_s1</vt:lpstr>
      <vt:lpstr>'4.10'!_s2</vt:lpstr>
      <vt:lpstr>'4.10'!_s3</vt:lpstr>
      <vt:lpstr>'4.1.1'!A</vt:lpstr>
      <vt:lpstr>'4.10'!Abminderungsfaktor</vt:lpstr>
      <vt:lpstr>'4.13'!AnzahlPasspunkte</vt:lpstr>
      <vt:lpstr>AO</vt:lpstr>
      <vt:lpstr>'4.1.3'!Art</vt:lpstr>
      <vt:lpstr>'4.4.x'!D</vt:lpstr>
      <vt:lpstr>D</vt:lpstr>
      <vt:lpstr>'3.1'!Druckbereich</vt:lpstr>
      <vt:lpstr>'4.1.1'!Druckbereich</vt:lpstr>
      <vt:lpstr>'4.1.3'!Druckbereich</vt:lpstr>
      <vt:lpstr>'4.10'!Druckbereich</vt:lpstr>
      <vt:lpstr>'4.11'!Druckbereich</vt:lpstr>
      <vt:lpstr>'4.12'!Druckbereich</vt:lpstr>
      <vt:lpstr>'4.13'!Druckbereich</vt:lpstr>
      <vt:lpstr>'4.14'!Druckbereich</vt:lpstr>
      <vt:lpstr>'4.15'!Druckbereich</vt:lpstr>
      <vt:lpstr>'4.2'!Druckbereich</vt:lpstr>
      <vt:lpstr>'4.3'!Druckbereich</vt:lpstr>
      <vt:lpstr>'4.4.2'!Druckbereich</vt:lpstr>
      <vt:lpstr>'4.4.x'!Druckbereich</vt:lpstr>
      <vt:lpstr>'4.5'!Druckbereich</vt:lpstr>
      <vt:lpstr>'4.6'!Druckbereich</vt:lpstr>
      <vt:lpstr>'4.7.1'!Druckbereich</vt:lpstr>
      <vt:lpstr>'4.7.2'!Druckbereich</vt:lpstr>
      <vt:lpstr>'4.7.3'!Druckbereich</vt:lpstr>
      <vt:lpstr>'4.7.4'!Druckbereich</vt:lpstr>
      <vt:lpstr>'4.7.5'!Druckbereich</vt:lpstr>
      <vt:lpstr>'4.8'!Druckbereich</vt:lpstr>
      <vt:lpstr>'4.9'!Druckbereich</vt:lpstr>
      <vt:lpstr>'5.1'!Druckbereich</vt:lpstr>
      <vt:lpstr>'6.1'!Druckbereich</vt:lpstr>
      <vt:lpstr>'6.2'!Druckbereich</vt:lpstr>
      <vt:lpstr>'6.2a'!Druckbereich</vt:lpstr>
      <vt:lpstr>'6.2b'!Druckbereich</vt:lpstr>
      <vt:lpstr>'6.2c'!Druckbereich</vt:lpstr>
      <vt:lpstr>'6.2d'!Druckbereich</vt:lpstr>
      <vt:lpstr>'6.3'!Druckbereich</vt:lpstr>
      <vt:lpstr>'7.1'!Druckbereich</vt:lpstr>
      <vt:lpstr>'7.2'!Druckbereich</vt:lpstr>
      <vt:lpstr>Gesamt!Druckbereich</vt:lpstr>
      <vt:lpstr>'3.1'!E</vt:lpstr>
      <vt:lpstr>'4.1.1'!E</vt:lpstr>
      <vt:lpstr>E</vt:lpstr>
      <vt:lpstr>'4.4.x'!Ed</vt:lpstr>
      <vt:lpstr>'4.4.x'!Es</vt:lpstr>
      <vt:lpstr>'3.1'!F</vt:lpstr>
      <vt:lpstr>'4.1.3'!f</vt:lpstr>
      <vt:lpstr>'4.2'!f</vt:lpstr>
      <vt:lpstr>'4.4.2'!f</vt:lpstr>
      <vt:lpstr>'4.4.x'!f</vt:lpstr>
      <vt:lpstr>'4.6'!f</vt:lpstr>
      <vt:lpstr>f</vt:lpstr>
      <vt:lpstr>'4.10'!F1_</vt:lpstr>
      <vt:lpstr>'4.10'!F2_</vt:lpstr>
      <vt:lpstr>'4.10'!F3_</vt:lpstr>
      <vt:lpstr>'4.10'!F4_</vt:lpstr>
      <vt:lpstr>'4.10'!F5_</vt:lpstr>
      <vt:lpstr>'4.10'!F6_</vt:lpstr>
      <vt:lpstr>'4.1.1'!G</vt:lpstr>
      <vt:lpstr>'4.2'!G</vt:lpstr>
      <vt:lpstr>'4.4.2'!G</vt:lpstr>
      <vt:lpstr>'4.4.x'!G</vt:lpstr>
      <vt:lpstr>'4.6'!G</vt:lpstr>
      <vt:lpstr>'4.1.1'!h</vt:lpstr>
      <vt:lpstr>'4.10'!Ha</vt:lpstr>
      <vt:lpstr>'4.10'!Hb</vt:lpstr>
      <vt:lpstr>'4.10'!Hc</vt:lpstr>
      <vt:lpstr>'4.7.2'!IIc</vt:lpstr>
      <vt:lpstr>IS</vt:lpstr>
      <vt:lpstr>'3.1'!K</vt:lpstr>
      <vt:lpstr>'3.1'!L</vt:lpstr>
      <vt:lpstr>'4.10'!l</vt:lpstr>
      <vt:lpstr>'4.10'!l1_</vt:lpstr>
      <vt:lpstr>'4.10'!l2_</vt:lpstr>
      <vt:lpstr>'4.10'!l3_</vt:lpstr>
      <vt:lpstr>'4.13'!Masstab</vt:lpstr>
      <vt:lpstr>'3.1'!maxzeile</vt:lpstr>
      <vt:lpstr>Gesamt!maxzeile</vt:lpstr>
      <vt:lpstr>'4.1.1'!Messmet</vt:lpstr>
      <vt:lpstr>'4.1.1'!n</vt:lpstr>
      <vt:lpstr>'4.1.3'!n</vt:lpstr>
      <vt:lpstr>'4.4.x'!n</vt:lpstr>
      <vt:lpstr>'4.6'!n</vt:lpstr>
      <vt:lpstr>'3.1'!n_1</vt:lpstr>
      <vt:lpstr>'3.1'!n_2</vt:lpstr>
      <vt:lpstr>'3.1'!n_3</vt:lpstr>
      <vt:lpstr>'3.1'!n_4</vt:lpstr>
      <vt:lpstr>'3.1'!n_5</vt:lpstr>
      <vt:lpstr>'3.1'!n_6</vt:lpstr>
      <vt:lpstr>'4.4.x'!Nd</vt:lpstr>
      <vt:lpstr>'4.4.x'!Ndh</vt:lpstr>
      <vt:lpstr>'4.4.x'!Ndp</vt:lpstr>
      <vt:lpstr>'4.4.x'!Nds</vt:lpstr>
      <vt:lpstr>'4.1.1'!NK</vt:lpstr>
      <vt:lpstr>'4.1.3'!NK</vt:lpstr>
      <vt:lpstr>'4.11'!NK</vt:lpstr>
      <vt:lpstr>'4.12'!NK</vt:lpstr>
      <vt:lpstr>'4.13'!NK</vt:lpstr>
      <vt:lpstr>'4.14'!NK</vt:lpstr>
      <vt:lpstr>'4.15'!NK</vt:lpstr>
      <vt:lpstr>'4.2'!NK</vt:lpstr>
      <vt:lpstr>'4.3'!NK</vt:lpstr>
      <vt:lpstr>'4.4.2'!NK</vt:lpstr>
      <vt:lpstr>'4.4.x'!NK</vt:lpstr>
      <vt:lpstr>'4.5'!NK</vt:lpstr>
      <vt:lpstr>'4.6'!NK</vt:lpstr>
      <vt:lpstr>'4.7.1'!NK</vt:lpstr>
      <vt:lpstr>'4.7.2'!NK</vt:lpstr>
      <vt:lpstr>'4.7.3'!NK</vt:lpstr>
      <vt:lpstr>'4.7.4'!NK</vt:lpstr>
      <vt:lpstr>'4.7.5'!NK</vt:lpstr>
      <vt:lpstr>'4.8'!NK</vt:lpstr>
      <vt:lpstr>'4.9'!NK</vt:lpstr>
      <vt:lpstr>'5.1'!NK</vt:lpstr>
      <vt:lpstr>'6.1'!NK</vt:lpstr>
      <vt:lpstr>'6.2'!NK</vt:lpstr>
      <vt:lpstr>'6.2a'!NK</vt:lpstr>
      <vt:lpstr>'6.2b'!NK</vt:lpstr>
      <vt:lpstr>'6.2c'!NK</vt:lpstr>
      <vt:lpstr>'6.2d'!NK</vt:lpstr>
      <vt:lpstr>'7.1'!NK</vt:lpstr>
      <vt:lpstr>'7.2'!NK</vt:lpstr>
      <vt:lpstr>'3.1'!NK_1</vt:lpstr>
      <vt:lpstr>'3.1'!NK_2</vt:lpstr>
      <vt:lpstr>'3.1'!NK_3</vt:lpstr>
      <vt:lpstr>'4.10'!nplus</vt:lpstr>
      <vt:lpstr>'4.10'!ns</vt:lpstr>
      <vt:lpstr>'4.10'!ns1_</vt:lpstr>
      <vt:lpstr>'4.10'!ns2_</vt:lpstr>
      <vt:lpstr>'4.10'!ns3_</vt:lpstr>
      <vt:lpstr>'4.4.2'!P</vt:lpstr>
      <vt:lpstr>'4.1.1'!PAK</vt:lpstr>
      <vt:lpstr>'4.1.1'!PktAbst</vt:lpstr>
      <vt:lpstr>Potenz</vt:lpstr>
      <vt:lpstr>'4.7.2'!Qe</vt:lpstr>
      <vt:lpstr>Qe</vt:lpstr>
      <vt:lpstr>Qv</vt:lpstr>
      <vt:lpstr>'4.1.3'!S_</vt:lpstr>
      <vt:lpstr>'4.2'!S_</vt:lpstr>
      <vt:lpstr>'4.4.2'!S_</vt:lpstr>
      <vt:lpstr>'4.6'!S_</vt:lpstr>
      <vt:lpstr>'3.1'!s_1</vt:lpstr>
      <vt:lpstr>'3.1'!s_2</vt:lpstr>
      <vt:lpstr>'3.1'!s_3</vt:lpstr>
      <vt:lpstr>s_4</vt:lpstr>
      <vt:lpstr>s_5</vt:lpstr>
      <vt:lpstr>'3.1'!s_6</vt:lpstr>
      <vt:lpstr>'3.1'!s_7</vt:lpstr>
      <vt:lpstr>'3.1'!V</vt:lpstr>
      <vt:lpstr>'3.1'!VSK</vt:lpstr>
      <vt:lpstr>'4.1.1'!VSK</vt:lpstr>
      <vt:lpstr>'4.1.3'!VSK</vt:lpstr>
      <vt:lpstr>'4.10'!VSK</vt:lpstr>
      <vt:lpstr>'4.11'!VSK</vt:lpstr>
      <vt:lpstr>'4.12'!VSK</vt:lpstr>
      <vt:lpstr>'4.13'!VSK</vt:lpstr>
      <vt:lpstr>'4.14'!VSK</vt:lpstr>
      <vt:lpstr>'4.15'!VSK</vt:lpstr>
      <vt:lpstr>'4.2'!VSK</vt:lpstr>
      <vt:lpstr>'4.3'!VSK</vt:lpstr>
      <vt:lpstr>'4.4.2'!VSK</vt:lpstr>
      <vt:lpstr>'4.4.x'!VSK</vt:lpstr>
      <vt:lpstr>'4.5'!VSK</vt:lpstr>
      <vt:lpstr>'4.6'!VSK</vt:lpstr>
      <vt:lpstr>'4.7.1'!VSK</vt:lpstr>
      <vt:lpstr>'4.7.2'!VSK</vt:lpstr>
      <vt:lpstr>'4.7.3'!VSK</vt:lpstr>
      <vt:lpstr>'4.7.4'!VSK</vt:lpstr>
      <vt:lpstr>'4.7.5'!VSK</vt:lpstr>
      <vt:lpstr>'4.8'!VSK</vt:lpstr>
      <vt:lpstr>'4.9'!VSK</vt:lpstr>
      <vt:lpstr>'5.1'!VSK</vt:lpstr>
      <vt:lpstr>'6.1'!VSK</vt:lpstr>
      <vt:lpstr>'6.2'!VSK</vt:lpstr>
      <vt:lpstr>'6.2a'!VSK</vt:lpstr>
      <vt:lpstr>'6.2b'!VSK</vt:lpstr>
      <vt:lpstr>'6.2c'!VSK</vt:lpstr>
      <vt:lpstr>'6.2d'!VSK</vt:lpstr>
      <vt:lpstr>'6.3'!VSK</vt:lpstr>
      <vt:lpstr>'7.1'!VSK</vt:lpstr>
      <vt:lpstr>'7.2'!VSK</vt:lpstr>
      <vt:lpstr>'4.13'!VSK0_</vt:lpstr>
      <vt:lpstr>'4.13'!VSK1_</vt:lpstr>
      <vt:lpstr>'4.13'!VSK2_</vt:lpstr>
      <vt:lpstr>'4.13'!VSK3_</vt:lpstr>
      <vt:lpstr>'4.13'!VSK4_</vt:lpstr>
      <vt:lpstr>'4.13'!VSK5_</vt:lpstr>
      <vt:lpstr>'4.1.1'!W</vt:lpstr>
      <vt:lpstr>'3.1'!ZuAbschlag</vt:lpstr>
      <vt:lpstr>'4.1.1'!ZuAbschlag</vt:lpstr>
      <vt:lpstr>'4.1.3'!ZuAbschlag</vt:lpstr>
      <vt:lpstr>'4.11'!ZuAbschlag</vt:lpstr>
      <vt:lpstr>'4.12'!ZuAbschlag</vt:lpstr>
      <vt:lpstr>'4.13'!ZuAbschlag</vt:lpstr>
      <vt:lpstr>'4.14'!ZuAbschlag</vt:lpstr>
      <vt:lpstr>'4.15'!ZuAbschlag</vt:lpstr>
      <vt:lpstr>'4.2'!ZuAbschlag</vt:lpstr>
      <vt:lpstr>'4.3'!ZuAbschlag</vt:lpstr>
      <vt:lpstr>'4.4.2'!ZuAbschlag</vt:lpstr>
      <vt:lpstr>'4.4.x'!ZuAbschlag</vt:lpstr>
      <vt:lpstr>'4.5'!ZuAbschlag</vt:lpstr>
      <vt:lpstr>'4.6'!ZuAbschlag</vt:lpstr>
      <vt:lpstr>'4.7.1'!ZuAbschlag</vt:lpstr>
      <vt:lpstr>'4.7.2'!ZuAbschlag</vt:lpstr>
      <vt:lpstr>'4.7.3'!ZuAbschlag</vt:lpstr>
      <vt:lpstr>'4.7.4'!ZuAbschlag</vt:lpstr>
      <vt:lpstr>'4.7.5'!ZuAbschlag</vt:lpstr>
      <vt:lpstr>'4.8'!ZuAbschlag</vt:lpstr>
      <vt:lpstr>'4.9'!ZuAbschlag</vt:lpstr>
      <vt:lpstr>'5.1'!ZuAbschlag</vt:lpstr>
      <vt:lpstr>'6.1'!ZuAbschlag</vt:lpstr>
      <vt:lpstr>'6.2'!ZuAbschlag</vt:lpstr>
      <vt:lpstr>'6.2a'!ZuAbschlag</vt:lpstr>
      <vt:lpstr>'6.2b'!ZuAbschlag</vt:lpstr>
      <vt:lpstr>'6.2c'!ZuAbschlag</vt:lpstr>
      <vt:lpstr>'6.2d'!ZuAbschlag</vt:lpstr>
      <vt:lpstr>'6.3'!ZuAbschlag</vt:lpstr>
      <vt:lpstr>'7.1'!ZuAbschlag</vt:lpstr>
      <vt:lpstr>'7.2'!ZuAbschlag</vt:lpstr>
    </vt:vector>
  </TitlesOfParts>
  <Company>IK für Vermessungswesen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Helm Florian</dc:creator>
  <cp:lastModifiedBy>Martina Reisinger</cp:lastModifiedBy>
  <cp:lastPrinted>2025-12-30T09:27:01Z</cp:lastPrinted>
  <dcterms:created xsi:type="dcterms:W3CDTF">2011-08-04T06:11:19Z</dcterms:created>
  <dcterms:modified xsi:type="dcterms:W3CDTF">2026-03-05T12:31:21Z</dcterms:modified>
</cp:coreProperties>
</file>